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Bootcamp Folder\Analysis Projects\Crowdfunding Analysis\"/>
    </mc:Choice>
  </mc:AlternateContent>
  <xr:revisionPtr revIDLastSave="0" documentId="13_ncr:1_{7423BAF5-9889-43E3-92CB-0084954B0233}" xr6:coauthVersionLast="47" xr6:coauthVersionMax="47" xr10:uidLastSave="{00000000-0000-0000-0000-000000000000}"/>
  <bookViews>
    <workbookView xWindow="828" yWindow="-108" windowWidth="22320" windowHeight="13176" firstSheet="4" activeTab="4" xr2:uid="{00000000-000D-0000-FFFF-FFFF00000000}"/>
  </bookViews>
  <sheets>
    <sheet name="Kickstarter" sheetId="1" r:id="rId1"/>
    <sheet name="Category Statistics" sheetId="17" r:id="rId2"/>
    <sheet name="Subcategory Statistics" sheetId="4" r:id="rId3"/>
    <sheet name="Descriptive Statistics" sheetId="10" r:id="rId4"/>
    <sheet name="Theater Outcomes by Launch Date" sheetId="15" r:id="rId5"/>
    <sheet name="Outcomes Based on Goals" sheetId="16" r:id="rId6"/>
    <sheet name="Outcomes Based on Launch Date" sheetId="5" r:id="rId7"/>
    <sheet name="Edinburgh Research" sheetId="7" r:id="rId8"/>
  </sheets>
  <definedNames>
    <definedName name="_xlnm._FilterDatabase" localSheetId="0" hidden="1">Kickstarter!$A$1:$V$4115</definedName>
  </definedNames>
  <calcPr calcId="191029"/>
  <pivotCaches>
    <pivotCache cacheId="0" r:id="rId9"/>
    <pivotCache cacheId="1" r:id="rId10"/>
    <pivotCache cacheId="3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0" i="10" l="1"/>
  <c r="M10" i="10"/>
  <c r="L10" i="10"/>
  <c r="K10" i="10"/>
  <c r="N7" i="10"/>
  <c r="M7" i="10"/>
  <c r="L7" i="10"/>
  <c r="K7" i="10"/>
  <c r="N12" i="10"/>
  <c r="M12" i="10"/>
  <c r="L12" i="10"/>
  <c r="N11" i="10"/>
  <c r="M11" i="10"/>
  <c r="L11" i="10"/>
  <c r="K12" i="10"/>
  <c r="K11" i="10"/>
  <c r="N9" i="10"/>
  <c r="N8" i="10"/>
  <c r="M9" i="10"/>
  <c r="M8" i="10"/>
  <c r="L9" i="10"/>
  <c r="K9" i="10"/>
  <c r="L8" i="10"/>
  <c r="K8" i="10"/>
  <c r="G14" i="16"/>
  <c r="F14" i="16"/>
  <c r="B13" i="10"/>
  <c r="B15" i="10" s="1"/>
  <c r="M28" i="10" a="1"/>
  <c r="M28" i="10" s="1"/>
  <c r="L28" i="10" a="1"/>
  <c r="L28" i="10" s="1"/>
  <c r="K28" i="10" a="1"/>
  <c r="K28" i="10" s="1"/>
  <c r="J28" i="10" a="1"/>
  <c r="J28" i="10" s="1"/>
  <c r="I28" i="10" a="1"/>
  <c r="I28" i="10" s="1"/>
  <c r="I29" i="10" s="1"/>
  <c r="H28" i="10" a="1"/>
  <c r="H28" i="10" s="1"/>
  <c r="M27" i="10" a="1"/>
  <c r="M27" i="10" s="1"/>
  <c r="L27" i="10" a="1"/>
  <c r="L27" i="10" s="1"/>
  <c r="K27" i="10" a="1"/>
  <c r="K27" i="10" s="1"/>
  <c r="J27" i="10" a="1"/>
  <c r="J27" i="10" s="1"/>
  <c r="I27" i="10" a="1"/>
  <c r="I27" i="10" s="1"/>
  <c r="H27" i="10" a="1"/>
  <c r="H27" i="10" s="1"/>
  <c r="M26" i="10" a="1"/>
  <c r="M26" i="10" s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M25" i="10" a="1"/>
  <c r="M25" i="10" s="1"/>
  <c r="L25" i="10" a="1"/>
  <c r="L25" i="10" s="1"/>
  <c r="K25" i="10" a="1"/>
  <c r="K25" i="10" s="1"/>
  <c r="J25" i="10" a="1"/>
  <c r="J25" i="10" s="1"/>
  <c r="I25" i="10" a="1"/>
  <c r="I25" i="10" s="1"/>
  <c r="H25" i="10" a="1"/>
  <c r="H25" i="10" s="1"/>
  <c r="G28" i="10" a="1"/>
  <c r="G28" i="10" s="1"/>
  <c r="F28" i="10" a="1"/>
  <c r="F28" i="10" s="1"/>
  <c r="E28" i="10" a="1"/>
  <c r="E28" i="10" s="1"/>
  <c r="D28" i="10" a="1"/>
  <c r="D28" i="10" s="1"/>
  <c r="D29" i="10" s="1"/>
  <c r="C28" i="10" a="1"/>
  <c r="C28" i="10" s="1"/>
  <c r="B28" i="10" a="1"/>
  <c r="B28" i="10" s="1"/>
  <c r="G27" i="10" a="1"/>
  <c r="G27" i="10" s="1"/>
  <c r="F27" i="10" a="1"/>
  <c r="F27" i="10" s="1"/>
  <c r="E27" i="10" a="1"/>
  <c r="E27" i="10" s="1"/>
  <c r="D27" i="10" a="1"/>
  <c r="D27" i="10" s="1"/>
  <c r="C27" i="10" a="1"/>
  <c r="C27" i="10" s="1"/>
  <c r="B27" i="10" a="1"/>
  <c r="B27" i="10" s="1"/>
  <c r="G26" i="10" a="1"/>
  <c r="G26" i="10" s="1"/>
  <c r="F26" i="10" a="1"/>
  <c r="F26" i="10" s="1"/>
  <c r="E26" i="10" a="1"/>
  <c r="E26" i="10" s="1"/>
  <c r="D26" i="10" a="1"/>
  <c r="D26" i="10" s="1"/>
  <c r="C26" i="10"/>
  <c r="B26" i="10"/>
  <c r="G25" i="10" a="1"/>
  <c r="G25" i="10" s="1"/>
  <c r="F25" i="10" a="1"/>
  <c r="F25" i="10" s="1"/>
  <c r="E25" i="10" a="1"/>
  <c r="E25" i="10" s="1"/>
  <c r="D25" i="10" a="1"/>
  <c r="D25" i="10" s="1"/>
  <c r="C25" i="10"/>
  <c r="B25" i="10"/>
  <c r="M24" i="10"/>
  <c r="L24" i="10"/>
  <c r="K24" i="10"/>
  <c r="J24" i="10"/>
  <c r="I24" i="10"/>
  <c r="H24" i="10"/>
  <c r="G22" i="10" a="1"/>
  <c r="G22" i="10" s="1"/>
  <c r="F22" i="10" a="1"/>
  <c r="F22" i="10" s="1"/>
  <c r="E22" i="10" a="1"/>
  <c r="E22" i="10" s="1"/>
  <c r="D22" i="10" a="1"/>
  <c r="D22" i="10" s="1"/>
  <c r="C22" i="10" a="1"/>
  <c r="C22" i="10" s="1"/>
  <c r="B22" i="10" a="1"/>
  <c r="B22" i="10" s="1"/>
  <c r="G21" i="10" a="1"/>
  <c r="G21" i="10" s="1"/>
  <c r="F21" i="10" a="1"/>
  <c r="F21" i="10" s="1"/>
  <c r="E21" i="10" a="1"/>
  <c r="E21" i="10" s="1"/>
  <c r="D21" i="10" a="1"/>
  <c r="D21" i="10" s="1"/>
  <c r="C21" i="10" a="1"/>
  <c r="C21" i="10" s="1"/>
  <c r="B21" i="10" a="1"/>
  <c r="B21" i="10" s="1"/>
  <c r="G20" i="10" a="1"/>
  <c r="G20" i="10" s="1"/>
  <c r="F20" i="10" a="1"/>
  <c r="F20" i="10" s="1"/>
  <c r="E20" i="10" a="1"/>
  <c r="E20" i="10" s="1"/>
  <c r="D20" i="10" a="1"/>
  <c r="D20" i="10" s="1"/>
  <c r="C20" i="10"/>
  <c r="B20" i="10"/>
  <c r="G19" i="10" a="1"/>
  <c r="G19" i="10" s="1"/>
  <c r="F19" i="10" a="1"/>
  <c r="F19" i="10" s="1"/>
  <c r="E19" i="10" a="1"/>
  <c r="E19" i="10" s="1"/>
  <c r="D19" i="10" a="1"/>
  <c r="D19" i="10" s="1"/>
  <c r="C19" i="10"/>
  <c r="B19" i="10"/>
  <c r="G18" i="10"/>
  <c r="F18" i="10"/>
  <c r="E18" i="10"/>
  <c r="D18" i="10"/>
  <c r="C18" i="10"/>
  <c r="B18" i="10"/>
  <c r="G24" i="10"/>
  <c r="F24" i="10"/>
  <c r="E24" i="10"/>
  <c r="D24" i="10"/>
  <c r="C24" i="10"/>
  <c r="B24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M32" i="10"/>
  <c r="L32" i="10"/>
  <c r="K32" i="10"/>
  <c r="J32" i="10"/>
  <c r="I32" i="10"/>
  <c r="H32" i="10"/>
  <c r="G32" i="10"/>
  <c r="F32" i="10"/>
  <c r="E32" i="10"/>
  <c r="D32" i="10"/>
  <c r="C32" i="10"/>
  <c r="C35" i="10" s="1"/>
  <c r="B32" i="10"/>
  <c r="M35" i="10"/>
  <c r="L35" i="10"/>
  <c r="K35" i="10"/>
  <c r="J35" i="10"/>
  <c r="I35" i="10"/>
  <c r="H35" i="10"/>
  <c r="G35" i="10"/>
  <c r="F35" i="10"/>
  <c r="E35" i="10"/>
  <c r="D35" i="10"/>
  <c r="B35" i="10"/>
  <c r="M34" i="10"/>
  <c r="L34" i="10"/>
  <c r="K34" i="10"/>
  <c r="J34" i="10"/>
  <c r="I34" i="10"/>
  <c r="H34" i="10"/>
  <c r="M31" i="10"/>
  <c r="M30" i="10"/>
  <c r="L31" i="10"/>
  <c r="L30" i="10"/>
  <c r="K31" i="10"/>
  <c r="K30" i="10"/>
  <c r="J31" i="10"/>
  <c r="J30" i="10"/>
  <c r="I31" i="10"/>
  <c r="I30" i="10"/>
  <c r="H31" i="10"/>
  <c r="H30" i="10"/>
  <c r="G34" i="10"/>
  <c r="F34" i="10"/>
  <c r="E34" i="10"/>
  <c r="D34" i="10"/>
  <c r="C34" i="10"/>
  <c r="B34" i="10"/>
  <c r="G31" i="10"/>
  <c r="F31" i="10"/>
  <c r="E31" i="10"/>
  <c r="D31" i="10"/>
  <c r="C31" i="10"/>
  <c r="B31" i="10"/>
  <c r="G30" i="10"/>
  <c r="F30" i="10"/>
  <c r="E30" i="10"/>
  <c r="D30" i="10"/>
  <c r="C30" i="10"/>
  <c r="B30" i="10"/>
  <c r="G15" i="10"/>
  <c r="F15" i="10"/>
  <c r="E15" i="10"/>
  <c r="D15" i="10"/>
  <c r="C15" i="10"/>
  <c r="G14" i="10"/>
  <c r="F14" i="10"/>
  <c r="E14" i="10"/>
  <c r="D14" i="10"/>
  <c r="C14" i="10"/>
  <c r="B14" i="10"/>
  <c r="D3" i="16"/>
  <c r="C3" i="16"/>
  <c r="B3" i="16"/>
  <c r="D2" i="16"/>
  <c r="C2" i="16"/>
  <c r="B2" i="16"/>
  <c r="M23" i="10"/>
  <c r="M22" i="10" a="1"/>
  <c r="M22" i="10" s="1"/>
  <c r="M21" i="10" a="1"/>
  <c r="M21" i="10" s="1"/>
  <c r="M20" i="10" a="1"/>
  <c r="M20" i="10" s="1"/>
  <c r="M19" i="10" a="1"/>
  <c r="M19" i="10" s="1"/>
  <c r="M18" i="10"/>
  <c r="L22" i="10" a="1"/>
  <c r="L22" i="10" s="1"/>
  <c r="L21" i="10" a="1"/>
  <c r="L21" i="10" s="1"/>
  <c r="L20" i="10" a="1"/>
  <c r="L20" i="10" s="1"/>
  <c r="L19" i="10" a="1"/>
  <c r="L19" i="10" s="1"/>
  <c r="L18" i="10"/>
  <c r="K22" i="10" a="1"/>
  <c r="K22" i="10" s="1"/>
  <c r="K21" i="10" a="1"/>
  <c r="K21" i="10" s="1"/>
  <c r="K20" i="10" a="1"/>
  <c r="K20" i="10" s="1"/>
  <c r="K19" i="10" a="1"/>
  <c r="K19" i="10" s="1"/>
  <c r="K18" i="10"/>
  <c r="J22" i="10" a="1"/>
  <c r="J22" i="10" s="1"/>
  <c r="J21" i="10" a="1"/>
  <c r="J21" i="10" s="1"/>
  <c r="J20" i="10" a="1"/>
  <c r="J20" i="10" s="1"/>
  <c r="J19" i="10" a="1"/>
  <c r="J19" i="10" s="1"/>
  <c r="I22" i="10" a="1"/>
  <c r="I22" i="10" s="1"/>
  <c r="I21" i="10" a="1"/>
  <c r="I21" i="10" s="1"/>
  <c r="I20" i="10" a="1"/>
  <c r="I20" i="10" s="1"/>
  <c r="I19" i="10" a="1"/>
  <c r="I19" i="10" s="1"/>
  <c r="J18" i="10"/>
  <c r="H22" i="10" a="1"/>
  <c r="H22" i="10" s="1"/>
  <c r="H21" i="10" a="1"/>
  <c r="H21" i="10" s="1"/>
  <c r="H20" i="10" a="1"/>
  <c r="H20" i="10" s="1"/>
  <c r="H19" i="10" a="1"/>
  <c r="H19" i="10" s="1"/>
  <c r="H18" i="10"/>
  <c r="I18" i="10"/>
  <c r="G11" i="10" a="1"/>
  <c r="G11" i="10" s="1"/>
  <c r="F11" i="10" a="1"/>
  <c r="F11" i="10" s="1"/>
  <c r="E11" i="10" a="1"/>
  <c r="E11" i="10" s="1"/>
  <c r="D11" i="10" a="1"/>
  <c r="D11" i="10" s="1"/>
  <c r="C11" i="10" a="1"/>
  <c r="C11" i="10" s="1"/>
  <c r="B11" i="10" a="1"/>
  <c r="B11" i="10" s="1"/>
  <c r="G10" i="10" a="1"/>
  <c r="G10" i="10" s="1"/>
  <c r="F10" i="10" a="1"/>
  <c r="F10" i="10" s="1"/>
  <c r="E10" i="10" a="1"/>
  <c r="E10" i="10" s="1"/>
  <c r="D10" i="10" a="1"/>
  <c r="D10" i="10" s="1"/>
  <c r="C10" i="10" a="1"/>
  <c r="C10" i="10" s="1"/>
  <c r="B10" i="10" a="1"/>
  <c r="B10" i="10" s="1"/>
  <c r="G9" i="10" a="1"/>
  <c r="G9" i="10" s="1"/>
  <c r="F9" i="10" a="1"/>
  <c r="F9" i="10" s="1"/>
  <c r="E9" i="10" a="1"/>
  <c r="E9" i="10" s="1"/>
  <c r="D9" i="10" a="1"/>
  <c r="D9" i="10" s="1"/>
  <c r="C9" i="10"/>
  <c r="B9" i="10"/>
  <c r="G8" i="10" a="1"/>
  <c r="G8" i="10" s="1"/>
  <c r="F8" i="10" a="1"/>
  <c r="F8" i="10" s="1"/>
  <c r="E8" i="10" a="1"/>
  <c r="E8" i="10" s="1"/>
  <c r="D8" i="10" a="1"/>
  <c r="D8" i="10" s="1"/>
  <c r="C8" i="10"/>
  <c r="B8" i="10"/>
  <c r="G7" i="10"/>
  <c r="F7" i="10"/>
  <c r="E7" i="10"/>
  <c r="D7" i="10"/>
  <c r="C7" i="10"/>
  <c r="B7" i="10"/>
  <c r="F13" i="10"/>
  <c r="C13" i="10"/>
  <c r="G13" i="10"/>
  <c r="E13" i="10"/>
  <c r="D13" i="10"/>
  <c r="J29" i="10" l="1"/>
  <c r="K29" i="10"/>
  <c r="H29" i="10"/>
  <c r="L29" i="10"/>
  <c r="M29" i="10"/>
  <c r="E29" i="10"/>
  <c r="B29" i="10"/>
  <c r="F29" i="10"/>
  <c r="C29" i="10"/>
  <c r="G29" i="10"/>
  <c r="E3" i="16"/>
  <c r="F3" i="16" s="1"/>
  <c r="E2" i="16"/>
  <c r="H2" i="16" s="1"/>
  <c r="L23" i="10"/>
  <c r="H23" i="10"/>
  <c r="D23" i="10"/>
  <c r="E23" i="10"/>
  <c r="B23" i="10"/>
  <c r="F23" i="10"/>
  <c r="C23" i="10"/>
  <c r="G23" i="10"/>
  <c r="D13" i="16"/>
  <c r="D12" i="16"/>
  <c r="D11" i="16"/>
  <c r="D10" i="16"/>
  <c r="D9" i="16"/>
  <c r="D8" i="16"/>
  <c r="D7" i="16"/>
  <c r="D6" i="16"/>
  <c r="D5" i="16"/>
  <c r="D4" i="16"/>
  <c r="C13" i="16"/>
  <c r="C12" i="16"/>
  <c r="C11" i="16"/>
  <c r="C10" i="16"/>
  <c r="C9" i="16"/>
  <c r="C8" i="16"/>
  <c r="C7" i="16"/>
  <c r="C6" i="16"/>
  <c r="C5" i="16"/>
  <c r="C4" i="16"/>
  <c r="B13" i="16"/>
  <c r="B12" i="16"/>
  <c r="B11" i="16"/>
  <c r="B10" i="16"/>
  <c r="B9" i="16"/>
  <c r="B8" i="16"/>
  <c r="B7" i="16"/>
  <c r="B6" i="16"/>
  <c r="B5" i="16"/>
  <c r="B4" i="16"/>
  <c r="G3" i="7"/>
  <c r="G4" i="7"/>
  <c r="G5" i="7"/>
  <c r="G6" i="7"/>
  <c r="G2" i="7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2" i="1"/>
  <c r="V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16" l="1"/>
  <c r="G3" i="16"/>
  <c r="G2" i="16"/>
  <c r="F2" i="16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46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E13" i="16"/>
  <c r="H13" i="16" s="1"/>
  <c r="E12" i="16"/>
  <c r="H12" i="16" s="1"/>
  <c r="E11" i="16"/>
  <c r="E10" i="16"/>
  <c r="E9" i="16"/>
  <c r="E7" i="16"/>
  <c r="E6" i="16"/>
  <c r="E4" i="16"/>
  <c r="E8" i="16"/>
  <c r="E5" i="16"/>
  <c r="B12" i="10"/>
  <c r="C12" i="10"/>
  <c r="D12" i="10"/>
  <c r="I23" i="10"/>
  <c r="J23" i="10"/>
  <c r="E12" i="10"/>
  <c r="K23" i="10"/>
  <c r="F12" i="10"/>
  <c r="G12" i="10"/>
  <c r="G12" i="16" l="1"/>
  <c r="G13" i="16"/>
  <c r="F13" i="16"/>
  <c r="F12" i="16"/>
  <c r="G11" i="16"/>
  <c r="H11" i="16"/>
  <c r="F11" i="16"/>
  <c r="G10" i="16"/>
  <c r="H10" i="16"/>
  <c r="F10" i="16"/>
  <c r="H9" i="16"/>
  <c r="G9" i="16"/>
  <c r="F9" i="16"/>
  <c r="G8" i="16"/>
  <c r="H8" i="16"/>
  <c r="F8" i="16"/>
  <c r="G7" i="16"/>
  <c r="H7" i="16"/>
  <c r="F7" i="16"/>
  <c r="G6" i="16"/>
  <c r="H6" i="16"/>
  <c r="F6" i="16"/>
  <c r="H5" i="16"/>
  <c r="G5" i="16"/>
  <c r="F5" i="16"/>
  <c r="H4" i="16"/>
  <c r="G4" i="16"/>
  <c r="F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<sst xmlns="http://schemas.openxmlformats.org/spreadsheetml/2006/main" count="33120" uniqueCount="8452">
  <si>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</si>
  <si>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</si>
  <si>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</si>
  <si>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</si>
  <si>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</si>
  <si>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</si>
  <si>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</si>
  <si>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</si>
  <si>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</si>
  <si>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</si>
  <si>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</si>
  <si>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</si>
  <si>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</si>
  <si>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</si>
  <si>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</si>
  <si>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</si>
  <si>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</si>
  <si>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</si>
  <si>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</si>
  <si>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</si>
  <si>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</si>
  <si>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</si>
  <si>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</si>
  <si>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</si>
  <si>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</si>
  <si>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</si>
  <si>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</si>
  <si>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</si>
  <si>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</si>
  <si>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</si>
  <si>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</si>
  <si>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</si>
  <si>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</si>
  <si>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</si>
  <si>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</si>
  <si>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</si>
  <si>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</si>
  <si>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</si>
  <si>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</si>
  <si>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</si>
  <si>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</si>
  <si>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</si>
  <si>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</si>
  <si>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</si>
  <si>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</si>
  <si>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</si>
  <si>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</si>
  <si>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</si>
  <si>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</si>
  <si>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</si>
  <si>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</si>
  <si>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</si>
  <si>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</si>
  <si>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</si>
  <si>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</si>
  <si>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</si>
  <si>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</si>
  <si>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</si>
  <si>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</si>
  <si>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</si>
  <si>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</si>
  <si>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</si>
  <si>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</si>
  <si>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</si>
  <si>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</si>
  <si>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</si>
  <si>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</si>
  <si>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</si>
  <si>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</si>
  <si>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</si>
  <si>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</si>
  <si>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</si>
  <si>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</si>
  <si>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</si>
  <si>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</si>
  <si>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</si>
  <si>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</si>
  <si>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</si>
  <si>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</si>
  <si>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</si>
  <si>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</si>
  <si>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</si>
  <si>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</si>
  <si>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</si>
  <si>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</si>
  <si>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</si>
  <si>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</si>
  <si>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</si>
  <si>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</si>
  <si>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</si>
  <si>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</si>
  <si>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</si>
  <si>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</si>
  <si>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</si>
  <si>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</si>
  <si>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</si>
  <si>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</si>
  <si>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</si>
  <si>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</si>
  <si>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</si>
  <si>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</si>
  <si>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</si>
  <si>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</si>
  <si>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</si>
  <si>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</si>
  <si>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</si>
  <si>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</si>
  <si>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</si>
  <si>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</si>
  <si>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</si>
  <si>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</si>
  <si>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</si>
  <si>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</si>
  <si>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</si>
  <si>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</si>
  <si>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</si>
  <si>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</si>
  <si>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</si>
  <si>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</si>
  <si>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</si>
  <si>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</si>
  <si>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</si>
  <si>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</si>
  <si>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</si>
  <si>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</si>
  <si>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</si>
  <si>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</si>
  <si>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</si>
  <si>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</si>
  <si>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</si>
  <si>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</si>
  <si>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</si>
  <si>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</si>
  <si>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</si>
  <si>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</si>
  <si>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</si>
  <si>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</si>
  <si>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</si>
  <si>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</si>
  <si>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</si>
  <si>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</si>
  <si>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</si>
  <si>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</si>
  <si>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</si>
  <si>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</si>
  <si>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</si>
  <si>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</si>
  <si>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</si>
  <si>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</si>
  <si>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</si>
  <si>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</si>
  <si>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</si>
  <si>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</si>
  <si>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</si>
  <si>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</si>
  <si>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</si>
  <si>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</si>
  <si>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</si>
  <si>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</si>
  <si>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</si>
  <si>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</si>
  <si>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</si>
  <si>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</si>
  <si>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</si>
  <si>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</si>
  <si>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</si>
  <si>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</si>
  <si>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</si>
  <si>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</si>
  <si>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</si>
  <si>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</si>
  <si>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</si>
  <si>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</si>
  <si>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</si>
  <si>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</si>
  <si>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</si>
  <si>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</si>
  <si>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</si>
  <si>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</si>
  <si>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</si>
  <si>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</si>
  <si>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</si>
  <si>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</si>
  <si>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</si>
  <si>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</si>
  <si>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</si>
  <si>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</si>
  <si>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</si>
  <si>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</si>
  <si>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</si>
  <si>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</si>
  <si>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</si>
  <si>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</si>
  <si>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</si>
  <si>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</si>
  <si>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</si>
  <si>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</si>
  <si>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</si>
  <si>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</si>
  <si>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</si>
  <si>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</si>
  <si>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</si>
  <si>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</si>
  <si>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</si>
  <si>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</si>
  <si>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</si>
  <si>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</si>
  <si>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</si>
  <si>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</si>
  <si>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</si>
  <si>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</si>
  <si>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</si>
  <si>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</si>
  <si>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</si>
  <si>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</si>
  <si>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</si>
  <si>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</si>
  <si>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</si>
  <si>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</si>
  <si>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</si>
  <si>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</si>
  <si>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</si>
  <si>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</si>
  <si>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</si>
  <si>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</si>
  <si>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</si>
  <si>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</si>
  <si>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</si>
  <si>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</si>
  <si>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</si>
  <si>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</si>
  <si>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</si>
  <si>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</si>
  <si>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</si>
  <si>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</si>
  <si>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</si>
  <si>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</si>
  <si>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</si>
  <si>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</si>
  <si>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</si>
  <si>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</si>
  <si>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</si>
  <si>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</si>
  <si>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</si>
  <si>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</si>
  <si>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</si>
  <si>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</si>
  <si>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</si>
  <si>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</si>
  <si>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</si>
  <si>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</si>
  <si>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</si>
  <si>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</si>
  <si>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</si>
  <si>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</si>
  <si>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</si>
  <si>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</si>
  <si>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</si>
  <si>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</si>
  <si>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</si>
  <si>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</si>
  <si>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</si>
  <si>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</si>
  <si>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</si>
  <si>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</si>
  <si>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</si>
  <si>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</si>
  <si>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</si>
  <si>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</si>
  <si>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</si>
  <si>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</si>
  <si>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</si>
  <si>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</si>
  <si>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</si>
  <si>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</si>
  <si>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</si>
  <si>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</si>
  <si>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</si>
  <si>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</si>
  <si>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</si>
  <si>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</si>
  <si>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</si>
  <si>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</si>
  <si>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</si>
  <si>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</si>
  <si>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</si>
  <si>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</si>
  <si>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</si>
  <si>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</si>
  <si>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</si>
  <si>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</si>
  <si>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</si>
  <si>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</si>
  <si>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</si>
  <si>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</si>
  <si>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</si>
  <si>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</si>
  <si>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</si>
  <si>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</si>
  <si>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</si>
  <si>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</si>
  <si>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</si>
  <si>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</si>
  <si>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</si>
  <si>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</si>
  <si>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</si>
  <si>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</si>
  <si>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</si>
  <si>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</si>
  <si>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</si>
  <si>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</si>
  <si>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</si>
  <si>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</si>
  <si>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</si>
  <si>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</si>
  <si>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</si>
  <si>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</si>
  <si>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</si>
  <si>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</si>
  <si>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</si>
  <si>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</si>
  <si>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</si>
  <si>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</si>
  <si>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</si>
  <si>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</si>
  <si>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</si>
  <si>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</si>
  <si>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</si>
  <si>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</si>
  <si>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</si>
  <si>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</si>
  <si>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</si>
  <si>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</si>
  <si>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</si>
  <si>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</si>
  <si>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</si>
  <si>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</si>
  <si>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</si>
  <si>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</si>
  <si>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</si>
  <si>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</si>
  <si>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</si>
  <si>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</si>
  <si>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</si>
  <si>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</si>
  <si>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</si>
  <si>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</si>
  <si>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</si>
  <si>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</si>
  <si>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</si>
  <si>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</si>
  <si>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</si>
  <si>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</si>
  <si>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</si>
  <si>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</si>
  <si>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</si>
  <si>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</si>
  <si>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</si>
  <si>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</si>
  <si>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</si>
  <si>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</si>
  <si>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</si>
  <si>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</si>
  <si>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</si>
  <si>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</si>
  <si>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</si>
  <si>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</si>
  <si>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</si>
  <si>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</si>
  <si>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</si>
  <si>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</si>
  <si>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</si>
  <si>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</si>
  <si>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</si>
  <si>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</si>
  <si>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</si>
  <si>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</si>
  <si>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</si>
  <si>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</si>
  <si>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</si>
  <si>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</si>
  <si>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</si>
  <si>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</si>
  <si>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</si>
  <si>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</si>
  <si>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</si>
  <si>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</si>
  <si>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</si>
  <si>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</si>
  <si>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</si>
  <si>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</si>
  <si>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</si>
  <si>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</si>
  <si>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</si>
  <si>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</si>
  <si>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</si>
  <si>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</si>
  <si>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</si>
  <si>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</si>
  <si>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</si>
  <si>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</si>
  <si>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</si>
  <si>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</si>
  <si>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</si>
  <si>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</si>
  <si>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</si>
  <si>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</si>
  <si>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</si>
  <si>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</si>
  <si>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</si>
  <si>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</si>
  <si>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</si>
  <si>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</si>
  <si>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</si>
  <si>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</si>
  <si>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</si>
  <si>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</si>
  <si>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</si>
  <si>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</si>
  <si>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</si>
  <si>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</si>
  <si>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</si>
  <si>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</si>
  <si>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</si>
  <si>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</si>
  <si>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</si>
  <si>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</si>
  <si>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</si>
  <si>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</si>
  <si>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</si>
  <si>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</si>
  <si>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</si>
  <si>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</si>
  <si>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</si>
  <si>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</si>
  <si>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</si>
  <si>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</si>
  <si>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</si>
  <si>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</si>
  <si>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</si>
  <si>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</si>
  <si>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</si>
  <si>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</si>
  <si>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</si>
  <si>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</si>
  <si>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</si>
  <si>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</si>
  <si>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</si>
  <si>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</si>
  <si>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</si>
  <si>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</si>
  <si>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</si>
  <si>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</si>
  <si>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</si>
  <si>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</si>
  <si>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</si>
  <si>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</si>
  <si>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</si>
  <si>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</si>
  <si>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</si>
  <si>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</si>
  <si>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</si>
  <si>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</si>
  <si>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</si>
  <si>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</si>
  <si>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</si>
  <si>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</si>
  <si>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</si>
  <si>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</si>
  <si>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</si>
  <si>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</si>
  <si>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</si>
  <si>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</si>
  <si>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</si>
  <si>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</si>
  <si>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</si>
  <si>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</si>
  <si>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</si>
  <si>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</si>
  <si>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</si>
  <si>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</si>
  <si>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</si>
  <si>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</si>
  <si>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</si>
  <si>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</si>
  <si>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</si>
  <si>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</si>
  <si>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</si>
  <si>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</si>
  <si>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</si>
  <si>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</si>
  <si>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</si>
  <si>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</si>
  <si>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</si>
  <si>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</si>
  <si>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</si>
  <si>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</si>
  <si>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</si>
  <si>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</si>
  <si>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</si>
  <si>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</si>
  <si>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</si>
  <si>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</si>
  <si>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</si>
  <si>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</si>
  <si>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</si>
  <si>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</si>
  <si>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</si>
  <si>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</si>
  <si>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</si>
  <si>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</si>
  <si>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</si>
  <si>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</si>
  <si>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</si>
  <si>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</si>
  <si>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</si>
  <si>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</si>
  <si>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</si>
  <si>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</si>
  <si>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</si>
  <si>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</si>
  <si>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</si>
  <si>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</si>
  <si>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</si>
  <si>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</si>
  <si>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</si>
  <si>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</si>
  <si>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</si>
  <si>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</si>
  <si>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</si>
  <si>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</si>
  <si>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</si>
  <si>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</si>
  <si>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</si>
  <si>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</si>
  <si>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</si>
  <si>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</si>
  <si>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</si>
  <si>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</si>
  <si>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</si>
  <si>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</si>
  <si>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</si>
  <si>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</si>
  <si>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</si>
  <si>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</si>
  <si>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</si>
  <si>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</si>
  <si>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</si>
  <si>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</si>
  <si>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</si>
  <si>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</si>
  <si>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</si>
  <si>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</si>
  <si>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</si>
  <si>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</si>
  <si>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</si>
  <si>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</si>
  <si>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</si>
  <si>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</si>
  <si>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</si>
  <si>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</si>
  <si>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</si>
  <si>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</si>
  <si>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</si>
  <si>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</si>
  <si>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</si>
  <si>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</si>
  <si>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</si>
  <si>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</si>
  <si>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</si>
  <si>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</si>
  <si>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</si>
  <si>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</si>
  <si>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</si>
  <si>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</si>
  <si>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</si>
  <si>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</si>
  <si>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</si>
  <si>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</si>
  <si>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</si>
  <si>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</si>
  <si>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</si>
  <si>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</si>
  <si>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</si>
  <si>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</si>
  <si>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</si>
  <si>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</si>
  <si>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</si>
  <si>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</si>
  <si>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</si>
  <si>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</si>
  <si>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</si>
  <si>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</si>
  <si>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</si>
  <si>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</si>
  <si>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</si>
  <si>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</si>
  <si>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</si>
  <si>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</si>
  <si>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</si>
  <si>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</si>
  <si>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</si>
  <si>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</si>
  <si>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</si>
  <si>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</si>
  <si>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</si>
  <si>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</si>
  <si>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</si>
  <si>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</si>
  <si>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</si>
  <si>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</si>
  <si>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</si>
  <si>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</si>
  <si>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</si>
  <si>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</si>
  <si>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</si>
  <si>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</si>
  <si>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</si>
  <si>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</si>
  <si>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</si>
  <si>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</si>
  <si>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</si>
  <si>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</si>
  <si>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</si>
  <si>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</si>
  <si>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</si>
  <si>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</si>
  <si>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</si>
  <si>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</si>
  <si>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</si>
  <si>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</si>
  <si>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</si>
  <si>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</si>
  <si>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</si>
  <si>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</si>
  <si>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</si>
  <si>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</si>
  <si>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</si>
  <si>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</si>
  <si>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</si>
  <si>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</si>
  <si>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</si>
  <si>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</si>
  <si>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</si>
  <si>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</si>
  <si>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</si>
  <si>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</si>
  <si>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</si>
  <si>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</si>
  <si>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</si>
  <si>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</si>
  <si>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</si>
  <si>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</si>
  <si>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</si>
  <si>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</si>
  <si>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</si>
  <si>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</si>
  <si>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</si>
  <si>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</si>
  <si>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</si>
  <si>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</si>
  <si>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</si>
  <si>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</si>
  <si>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</si>
  <si>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</si>
  <si>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</si>
  <si>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</si>
  <si>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</si>
  <si>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</si>
  <si>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</si>
  <si>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</si>
  <si>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</si>
  <si>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</si>
  <si>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</si>
  <si>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</si>
  <si>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</si>
  <si>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</si>
  <si>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</si>
  <si>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</si>
  <si>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</si>
  <si>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</si>
  <si>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</si>
  <si>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</si>
  <si>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</si>
  <si>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</si>
  <si>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</si>
  <si>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</si>
  <si>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</si>
  <si>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</si>
  <si>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</si>
  <si>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</si>
  <si>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</si>
  <si>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</si>
  <si>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</si>
  <si>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</si>
  <si>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</si>
  <si>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</si>
  <si>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</si>
  <si>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</si>
  <si>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</si>
  <si>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</si>
  <si>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</si>
  <si>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</si>
  <si>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</si>
  <si>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</si>
  <si>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</si>
  <si>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</si>
  <si>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</si>
  <si>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</si>
  <si>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</si>
  <si>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</si>
  <si>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</si>
  <si>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</si>
  <si>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</si>
  <si>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</si>
  <si>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</si>
  <si>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</si>
  <si>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</si>
  <si>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</si>
  <si>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</si>
  <si>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</si>
  <si>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</si>
  <si>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</si>
  <si>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</si>
  <si>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</si>
  <si>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</si>
  <si>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</si>
  <si>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</si>
  <si>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</si>
  <si>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</si>
  <si>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</si>
  <si>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</si>
  <si>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</si>
  <si>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</si>
  <si>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</si>
  <si>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</si>
  <si>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</si>
  <si>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</si>
  <si>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</si>
  <si>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</si>
  <si>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</si>
  <si>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</si>
  <si>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</si>
  <si>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</si>
  <si>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</si>
  <si>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</si>
  <si>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</si>
  <si>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</si>
  <si>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</si>
  <si>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</si>
  <si>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</si>
  <si>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</si>
  <si>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</si>
  <si>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</si>
  <si>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</si>
  <si>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</si>
  <si>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</si>
  <si>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</si>
  <si>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</si>
  <si>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</si>
  <si>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</si>
  <si>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</si>
  <si>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</si>
  <si>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</si>
  <si>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</si>
  <si>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</si>
  <si>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</si>
  <si>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</si>
  <si>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</si>
  <si>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</si>
  <si>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</si>
  <si>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</si>
  <si>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</si>
  <si>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</si>
  <si>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</si>
  <si>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</si>
  <si>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</si>
  <si>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</si>
  <si>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</si>
  <si>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</si>
  <si>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</si>
  <si>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</si>
  <si>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</si>
  <si>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</si>
  <si>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</si>
  <si>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</si>
  <si>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</si>
  <si>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</si>
  <si>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</si>
  <si>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</si>
  <si>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</si>
  <si>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</si>
  <si>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</si>
  <si>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</si>
  <si>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</si>
  <si>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</si>
  <si>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</si>
  <si>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</si>
  <si>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</si>
  <si>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</si>
  <si>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</si>
  <si>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</si>
  <si>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</si>
  <si>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</si>
  <si>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</si>
  <si>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</si>
  <si>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</si>
  <si>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</si>
  <si>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</si>
  <si>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</si>
  <si>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</si>
  <si>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</si>
  <si>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</si>
  <si>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</si>
  <si>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</si>
  <si>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</si>
  <si>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</si>
  <si>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</si>
  <si>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</si>
  <si>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</si>
  <si>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</si>
  <si>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</si>
  <si>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</si>
  <si>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</si>
  <si>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</si>
  <si>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</si>
  <si>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</si>
  <si>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</si>
  <si>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</si>
  <si>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</si>
  <si>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</si>
  <si>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</si>
  <si>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</si>
  <si>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</si>
  <si>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</si>
  <si>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</si>
  <si>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</si>
  <si>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</si>
  <si>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</si>
  <si>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</si>
  <si>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</si>
  <si>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</si>
  <si>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</si>
  <si>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</si>
  <si>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</si>
  <si>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</si>
  <si>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</si>
  <si>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</si>
  <si>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</si>
  <si>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</si>
  <si>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</si>
  <si>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</si>
  <si>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</si>
  <si>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</si>
  <si>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</si>
  <si>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</si>
  <si>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</si>
  <si>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</si>
  <si>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</si>
  <si>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</si>
  <si>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</si>
  <si>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</si>
  <si>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</si>
  <si>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</si>
  <si>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</si>
  <si>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</si>
  <si>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</si>
  <si>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</si>
  <si>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</si>
  <si>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</si>
  <si>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</si>
  <si>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</si>
  <si>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</si>
  <si>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</si>
  <si>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</si>
  <si>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</si>
  <si>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</si>
  <si>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</si>
  <si>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</si>
  <si>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</si>
  <si>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</si>
  <si>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</si>
  <si>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</si>
  <si>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</si>
  <si>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</si>
  <si>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</si>
  <si>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</si>
  <si>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</si>
  <si>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</si>
  <si>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</si>
  <si>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</si>
  <si>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</si>
  <si>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</si>
  <si>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</si>
  <si>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</si>
  <si>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</si>
  <si>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</si>
  <si>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</si>
  <si>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</si>
  <si>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</si>
  <si>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</si>
  <si>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</si>
  <si>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</si>
  <si>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</si>
  <si>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</si>
  <si>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</si>
  <si>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</si>
  <si>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</si>
  <si>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</si>
  <si>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</si>
  <si>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</si>
  <si>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</si>
  <si>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</si>
  <si>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</si>
  <si>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</si>
  <si>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</si>
  <si>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</si>
  <si>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</si>
  <si>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</si>
  <si>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</si>
  <si>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</si>
  <si>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</si>
  <si>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</si>
  <si>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</si>
  <si>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</si>
  <si>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</si>
  <si>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</si>
  <si>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</si>
  <si>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</si>
  <si>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</si>
  <si>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</si>
  <si>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</si>
  <si>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</si>
  <si>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</si>
  <si>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</si>
  <si>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</si>
  <si>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</si>
  <si>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</si>
  <si>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</si>
  <si>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</si>
  <si>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</si>
  <si>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</si>
  <si>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</si>
  <si>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</si>
  <si>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</si>
  <si>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</si>
  <si>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</si>
  <si>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</si>
  <si>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</si>
  <si>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</si>
  <si>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</si>
  <si>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</si>
  <si>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</si>
  <si>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</si>
  <si>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</si>
  <si>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</si>
  <si>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</si>
  <si>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</si>
  <si>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</si>
  <si>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</si>
  <si>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</si>
  <si>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</si>
  <si>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</si>
  <si>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</si>
  <si>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</si>
  <si>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</si>
  <si>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</si>
  <si>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</si>
  <si>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</si>
  <si>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</si>
  <si>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</si>
  <si>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</si>
  <si>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</si>
  <si>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</si>
  <si>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</si>
  <si>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</si>
  <si>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</si>
  <si>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</si>
  <si>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</si>
  <si>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</si>
  <si>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</si>
  <si>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</si>
  <si>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</si>
  <si>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</si>
  <si>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</si>
  <si>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</si>
  <si>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</si>
  <si>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</si>
  <si>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</si>
  <si>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</si>
  <si>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</si>
  <si>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</si>
  <si>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</si>
  <si>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</si>
  <si>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</si>
  <si>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</si>
  <si>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</si>
  <si>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</si>
  <si>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</si>
  <si>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</si>
  <si>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</si>
  <si>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</si>
  <si>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</si>
  <si>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</si>
  <si>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</si>
  <si>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</si>
  <si>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</si>
  <si>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</si>
  <si>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</si>
  <si>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</si>
  <si>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</si>
  <si>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</si>
  <si>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</si>
  <si>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</si>
  <si>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</si>
  <si>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</si>
  <si>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</si>
  <si>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</si>
  <si>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</si>
  <si>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</si>
  <si>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</si>
  <si>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</si>
  <si>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</si>
  <si>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</si>
  <si>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</si>
  <si>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</si>
  <si>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</si>
  <si>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</si>
  <si>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</si>
  <si>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</si>
  <si>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</si>
  <si>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</si>
  <si>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</si>
  <si>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</si>
  <si>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</si>
  <si>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</si>
  <si>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</si>
  <si>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</si>
  <si>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</si>
  <si>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</si>
  <si>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</si>
  <si>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</si>
  <si>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</si>
  <si>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</si>
  <si>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</si>
  <si>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</si>
  <si>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</si>
  <si>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</si>
  <si>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</si>
  <si>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</si>
  <si>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</si>
  <si>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</si>
  <si>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</si>
  <si>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</si>
  <si>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</si>
  <si>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</si>
  <si>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</si>
  <si>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</si>
  <si>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</si>
  <si>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</si>
  <si>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</si>
  <si>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</si>
  <si>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</si>
  <si>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</si>
  <si>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</si>
  <si>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</si>
  <si>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</si>
  <si>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</si>
  <si>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</si>
  <si>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</si>
  <si>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</si>
  <si>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</si>
  <si>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</si>
  <si>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</si>
  <si>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</si>
  <si>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</si>
  <si>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</si>
  <si>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</si>
  <si>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</si>
  <si>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</si>
  <si>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</si>
  <si>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</si>
  <si>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</si>
  <si>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</si>
  <si>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</si>
  <si>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</si>
  <si>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</si>
  <si>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</si>
  <si>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</si>
  <si>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</si>
  <si>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</si>
  <si>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</si>
  <si>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</si>
  <si>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</si>
  <si>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</si>
  <si>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</si>
  <si>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</si>
  <si>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</si>
  <si>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</si>
  <si>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</si>
  <si>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</si>
  <si>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</si>
  <si>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</si>
  <si>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</si>
  <si>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</si>
  <si>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</si>
  <si>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</si>
  <si>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</si>
  <si>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</si>
  <si>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</si>
  <si>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</si>
  <si>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</si>
  <si>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</si>
  <si>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</si>
  <si>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</si>
  <si>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</si>
  <si>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</si>
  <si>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</si>
  <si>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</si>
  <si>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</si>
  <si>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</si>
  <si>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</si>
  <si>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</si>
  <si>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</si>
  <si>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</si>
  <si>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</si>
  <si>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</si>
  <si>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</si>
  <si>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</si>
  <si>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</si>
  <si>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</si>
  <si>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</si>
  <si>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</si>
  <si>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</si>
  <si>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</si>
  <si>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</si>
  <si>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</si>
  <si>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</si>
  <si>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</si>
  <si>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</si>
  <si>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</si>
  <si>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</si>
  <si>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</si>
  <si>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</si>
  <si>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</si>
  <si>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</si>
  <si>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</si>
  <si>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</si>
  <si>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</si>
  <si>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</si>
  <si>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</si>
  <si>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</si>
  <si>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</si>
  <si>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</si>
  <si>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</si>
  <si>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</si>
  <si>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</si>
  <si>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</si>
  <si>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</si>
  <si>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</si>
  <si>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</si>
  <si>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</si>
  <si>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</si>
  <si>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</si>
  <si>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</si>
  <si>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</si>
  <si>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</si>
  <si>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</si>
  <si>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</si>
  <si>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</si>
  <si>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</si>
  <si>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</si>
  <si>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</si>
  <si>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</si>
  <si>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</si>
  <si>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</si>
  <si>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</si>
  <si>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</si>
  <si>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</si>
  <si>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</si>
  <si>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</si>
  <si>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</si>
  <si>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</si>
  <si>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</si>
  <si>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</si>
  <si>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</si>
  <si>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</si>
  <si>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</si>
  <si>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</si>
  <si>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</si>
  <si>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</si>
  <si>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</si>
  <si>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</si>
  <si>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</si>
  <si>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</si>
  <si>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</si>
  <si>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</si>
  <si>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</si>
  <si>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</si>
  <si>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</si>
  <si>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</si>
  <si>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</si>
  <si>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</si>
  <si>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</si>
  <si>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</si>
  <si>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</si>
  <si>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</si>
  <si>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</si>
  <si>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</si>
  <si>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</si>
  <si>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</si>
  <si>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</si>
  <si>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</si>
  <si>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</si>
  <si>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</si>
  <si>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</si>
  <si>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</si>
  <si>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</si>
  <si>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</si>
  <si>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</si>
  <si>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</si>
  <si>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</si>
  <si>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</si>
  <si>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</si>
  <si>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</si>
  <si>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</si>
  <si>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</si>
  <si>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</si>
  <si>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</si>
  <si>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</si>
  <si>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</si>
  <si>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</si>
  <si>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</si>
  <si>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</si>
  <si>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</si>
  <si>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</si>
  <si>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</si>
  <si>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</si>
  <si>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</si>
  <si>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</si>
  <si>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</si>
  <si>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</si>
  <si>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</si>
  <si>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</si>
  <si>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</si>
  <si>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</si>
  <si>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</si>
  <si>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</si>
  <si>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</si>
  <si>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</si>
  <si>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</si>
  <si>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</si>
  <si>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</si>
  <si>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</si>
  <si>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</si>
  <si>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</si>
  <si>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</si>
  <si>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</si>
  <si>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</si>
  <si>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</si>
  <si>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</si>
  <si>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</si>
  <si>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</si>
  <si>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</si>
  <si>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</si>
  <si>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</si>
  <si>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</si>
  <si>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</si>
  <si>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</si>
  <si>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</si>
  <si>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</si>
  <si>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</si>
  <si>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</si>
  <si>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</si>
  <si>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</si>
  <si>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</si>
  <si>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</si>
  <si>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</si>
  <si>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</si>
  <si>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</si>
  <si>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</si>
  <si>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</si>
  <si>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</si>
  <si>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</si>
  <si>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</si>
  <si>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</si>
  <si>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</si>
  <si>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</si>
  <si>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</si>
  <si>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</si>
  <si>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</si>
  <si>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</si>
  <si>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</si>
  <si>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</si>
  <si>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</si>
  <si>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</si>
  <si>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</si>
  <si>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</si>
  <si>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</si>
  <si>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</si>
  <si>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</si>
  <si>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</si>
  <si>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</si>
  <si>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</si>
  <si>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</si>
  <si>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</si>
  <si>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</si>
  <si>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</si>
  <si>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</si>
  <si>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</si>
  <si>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</si>
  <si>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</si>
  <si>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</si>
  <si>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</si>
  <si>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</si>
  <si>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</si>
  <si>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</si>
  <si>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</si>
  <si>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</si>
  <si>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</si>
  <si>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</si>
  <si>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</si>
  <si>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</si>
  <si>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</si>
  <si>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</si>
  <si>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</si>
  <si>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</si>
  <si>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</si>
  <si>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</si>
  <si>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</si>
  <si>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</si>
  <si>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</si>
  <si>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</si>
  <si>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</si>
  <si>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</si>
  <si>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</si>
  <si>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</si>
  <si>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</si>
  <si>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</si>
  <si>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</si>
  <si>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</si>
  <si>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</si>
  <si>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</si>
  <si>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</si>
  <si>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</si>
  <si>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</si>
  <si>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</si>
  <si>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</si>
  <si>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</si>
  <si>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</si>
  <si>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</si>
  <si>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</si>
  <si>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</si>
  <si>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</si>
  <si>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</si>
  <si>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</si>
  <si>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</si>
  <si>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</si>
  <si>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</si>
  <si>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</si>
  <si>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</si>
  <si>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</si>
  <si>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</si>
  <si>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</si>
  <si>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</si>
  <si>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</si>
  <si>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</si>
  <si>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</si>
  <si>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</si>
  <si>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</si>
  <si>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</si>
  <si>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</si>
  <si>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</si>
  <si>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</si>
  <si>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</si>
  <si>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</si>
  <si>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</si>
  <si>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</si>
  <si>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</si>
  <si>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</si>
  <si>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</si>
  <si>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</si>
  <si>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</si>
  <si>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</si>
  <si>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</si>
  <si>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</si>
  <si>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</si>
  <si>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</si>
  <si>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</si>
  <si>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</si>
  <si>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</si>
  <si>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</si>
  <si>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</si>
  <si>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</si>
  <si>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</si>
  <si>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</si>
  <si>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</si>
  <si>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</si>
  <si>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</si>
  <si>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</si>
  <si>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</si>
  <si>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</si>
  <si>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</si>
  <si>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</si>
  <si>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</si>
  <si>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</si>
  <si>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</si>
  <si>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</si>
  <si>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</si>
  <si>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</si>
  <si>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</si>
  <si>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</si>
  <si>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</si>
  <si>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</si>
  <si>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</si>
  <si>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</si>
  <si>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</si>
  <si>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</si>
  <si>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</si>
  <si>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</si>
  <si>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</si>
  <si>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</si>
  <si>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</si>
  <si>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</si>
  <si>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</si>
  <si>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</si>
  <si>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</si>
  <si>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</si>
  <si>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</si>
  <si>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</si>
  <si>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</si>
  <si>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</si>
  <si>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</si>
  <si>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</si>
  <si>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</si>
  <si>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</si>
  <si>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</si>
  <si>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</si>
  <si>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</si>
  <si>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</si>
  <si>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</si>
  <si>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</si>
  <si>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</si>
  <si>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</si>
  <si>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</si>
  <si>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</si>
  <si>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</si>
  <si>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</si>
  <si>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</si>
  <si>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</si>
  <si>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</si>
  <si>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</si>
  <si>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</si>
  <si>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</si>
  <si>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</si>
  <si>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</si>
  <si>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</si>
  <si>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</si>
  <si>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</si>
  <si>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</si>
  <si>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</si>
  <si>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</si>
  <si>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</si>
  <si>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</si>
  <si>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</si>
  <si>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</si>
  <si>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</si>
  <si>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</si>
  <si>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</si>
  <si>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</si>
  <si>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</si>
  <si>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</si>
  <si>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</si>
  <si>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</si>
  <si>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</si>
  <si>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</si>
  <si>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</si>
  <si>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</si>
  <si>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</si>
  <si>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</si>
  <si>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</si>
  <si>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</si>
  <si>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</si>
  <si>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</si>
  <si>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</si>
  <si>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</si>
  <si>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</si>
  <si>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</si>
  <si>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</si>
  <si>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</si>
  <si>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</si>
  <si>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</si>
  <si>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</si>
  <si>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</si>
  <si>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</si>
  <si>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</si>
  <si>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</si>
  <si>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</si>
  <si>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</si>
  <si>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</si>
  <si>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</si>
  <si>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</si>
  <si>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</si>
  <si>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</si>
  <si>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</si>
  <si>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</si>
  <si>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</si>
  <si>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</si>
  <si>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</si>
  <si>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</si>
  <si>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</si>
  <si>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</si>
  <si>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</si>
  <si>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</si>
  <si>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</si>
  <si>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</si>
  <si>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</si>
  <si>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</si>
  <si>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</si>
  <si>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</si>
  <si>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</si>
  <si>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</si>
  <si>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</si>
  <si>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</si>
  <si>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</si>
  <si>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</si>
  <si>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</si>
  <si>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</si>
  <si>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</si>
  <si>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</si>
  <si>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</si>
  <si>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</si>
  <si>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</si>
  <si>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</si>
  <si>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</si>
  <si>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</si>
  <si>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</si>
  <si>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</si>
  <si>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</si>
  <si>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</si>
  <si>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</si>
  <si>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</si>
  <si>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</si>
  <si>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</si>
  <si>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</si>
  <si>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</si>
  <si>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</si>
  <si>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</si>
  <si>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</si>
  <si>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</si>
  <si>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</si>
  <si>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</si>
  <si>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</si>
  <si>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</si>
  <si>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</si>
  <si>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</si>
  <si>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</si>
  <si>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</si>
  <si>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</si>
  <si>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</si>
  <si>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</si>
  <si>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</si>
  <si>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</si>
  <si>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</si>
  <si>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</si>
  <si>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</si>
  <si>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</si>
  <si>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</si>
  <si>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</si>
  <si>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</si>
  <si>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</si>
  <si>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</si>
  <si>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</si>
  <si>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</si>
  <si>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</si>
  <si>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</si>
  <si>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</si>
  <si>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</si>
  <si>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</si>
  <si>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</si>
  <si>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</si>
  <si>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</si>
  <si>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</si>
  <si>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</si>
  <si>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</si>
  <si>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</si>
  <si>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</si>
  <si>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</si>
  <si>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</si>
  <si>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</si>
  <si>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</si>
  <si>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</si>
  <si>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</si>
  <si>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</si>
  <si>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</si>
  <si>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</si>
  <si>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</si>
  <si>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</si>
  <si>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</si>
  <si>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</si>
  <si>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</si>
  <si>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</si>
  <si>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</si>
  <si>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</si>
  <si>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</si>
  <si>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</si>
  <si>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</si>
  <si>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</si>
  <si>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</si>
  <si>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</si>
  <si>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</si>
  <si>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</si>
  <si>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</si>
  <si>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</si>
  <si>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</si>
  <si>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</si>
  <si>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</si>
  <si>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</si>
  <si>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</si>
  <si>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</si>
  <si>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</si>
  <si>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</si>
  <si>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</si>
  <si>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</si>
  <si>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</si>
  <si>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</si>
  <si>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</si>
  <si>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</si>
  <si>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</si>
  <si>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</si>
  <si>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</si>
  <si>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</si>
  <si>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</si>
  <si>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</si>
  <si>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</si>
  <si>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</si>
  <si>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</si>
  <si>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</si>
  <si>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</si>
  <si>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</si>
  <si>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</si>
  <si>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</si>
  <si>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</si>
  <si>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</si>
  <si>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</si>
  <si>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</si>
  <si>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</si>
  <si>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</si>
  <si>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</si>
  <si>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</si>
  <si>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</si>
  <si>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</si>
  <si>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</si>
  <si>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</si>
  <si>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</si>
  <si>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</si>
  <si>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</si>
  <si>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</si>
  <si>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</si>
  <si>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</si>
  <si>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</si>
  <si>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</si>
  <si>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</si>
  <si>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</si>
  <si>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</si>
  <si>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</si>
  <si>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</si>
  <si>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</si>
  <si>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</si>
  <si>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</si>
  <si>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</si>
  <si>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</si>
  <si>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</si>
  <si>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</si>
  <si>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</si>
  <si>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</si>
  <si>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</si>
  <si>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</si>
  <si>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</si>
  <si>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</si>
  <si>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</si>
  <si>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</si>
  <si>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</si>
  <si>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</si>
  <si>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</si>
  <si>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</si>
  <si>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</si>
  <si>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</si>
  <si>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</si>
  <si>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</si>
  <si>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</si>
  <si>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</si>
  <si>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</si>
  <si>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</si>
  <si>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</si>
  <si>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</si>
  <si>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</si>
  <si>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</si>
  <si>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</si>
  <si>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</si>
  <si>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</si>
  <si>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</si>
  <si>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</si>
  <si>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</si>
  <si>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</si>
  <si>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</si>
  <si>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</si>
  <si>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</si>
  <si>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</si>
  <si>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</si>
  <si>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</si>
  <si>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</si>
  <si>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</si>
  <si>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</si>
  <si>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</si>
  <si>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</si>
  <si>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</si>
  <si>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</si>
  <si>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</si>
  <si>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</si>
  <si>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</si>
  <si>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</si>
  <si>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</si>
  <si>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</si>
  <si>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</si>
  <si>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</si>
  <si>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</si>
  <si>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</si>
  <si>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</si>
  <si>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</si>
  <si>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</si>
  <si>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</si>
  <si>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</si>
  <si>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</si>
  <si>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</si>
  <si>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</si>
  <si>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</si>
  <si>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</si>
  <si>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</si>
  <si>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</si>
  <si>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</si>
  <si>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</si>
  <si>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</si>
  <si>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</si>
  <si>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</si>
  <si>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</si>
  <si>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</si>
  <si>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</si>
  <si>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</si>
  <si>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</si>
  <si>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</si>
  <si>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</si>
  <si>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</si>
  <si>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</si>
  <si>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</si>
  <si>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</si>
  <si>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</si>
  <si>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</si>
  <si>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</si>
  <si>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</si>
  <si>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</si>
  <si>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</si>
  <si>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</si>
  <si>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</si>
  <si>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</si>
  <si>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</si>
  <si>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</si>
  <si>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</si>
  <si>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</si>
  <si>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</si>
  <si>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</si>
  <si>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</si>
  <si>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</si>
  <si>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</si>
  <si>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</si>
  <si>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</si>
  <si>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</si>
  <si>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</si>
  <si>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</si>
  <si>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</si>
  <si>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</si>
  <si>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</si>
  <si>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</si>
  <si>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</si>
  <si>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</si>
  <si>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</si>
  <si>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</si>
  <si>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</si>
  <si>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</si>
  <si>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</si>
  <si>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</si>
  <si>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</si>
  <si>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</si>
  <si>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</si>
  <si>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</si>
  <si>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</si>
  <si>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</si>
  <si>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</si>
  <si>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</si>
  <si>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</si>
  <si>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</si>
  <si>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</si>
  <si>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</si>
  <si>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</si>
  <si>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</si>
  <si>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</si>
  <si>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</si>
  <si>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</si>
  <si>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</si>
  <si>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</si>
  <si>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</si>
  <si>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</si>
  <si>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</si>
  <si>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</si>
  <si>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</si>
  <si>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</si>
  <si>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</si>
  <si>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</si>
  <si>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</si>
  <si>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</si>
  <si>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</si>
  <si>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</si>
  <si>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</si>
  <si>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</si>
  <si>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</si>
  <si>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</si>
  <si>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</si>
  <si>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</si>
  <si>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</si>
  <si>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</si>
  <si>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</si>
  <si>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</si>
  <si>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</si>
  <si>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</si>
  <si>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</si>
  <si>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</si>
  <si>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</si>
  <si>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</si>
  <si>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</si>
  <si>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</si>
  <si>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</si>
  <si>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</si>
  <si>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</si>
  <si>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</si>
  <si>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</si>
  <si>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</si>
  <si>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</si>
  <si>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</si>
  <si>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</si>
  <si>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</si>
  <si>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</si>
  <si>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</si>
  <si>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</si>
  <si>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</si>
  <si>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</si>
  <si>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</si>
  <si>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</si>
  <si>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</si>
  <si>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</si>
  <si>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</si>
  <si>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</si>
  <si>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</si>
  <si>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</si>
  <si>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</si>
  <si>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</si>
  <si>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</si>
  <si>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</si>
  <si>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</si>
  <si>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</si>
  <si>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</si>
  <si>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</si>
  <si>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</si>
  <si>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</si>
  <si>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</si>
  <si>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</si>
  <si>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</si>
  <si>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</si>
  <si>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</si>
  <si>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</si>
  <si>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</si>
  <si>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</si>
  <si>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</si>
  <si>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</si>
  <si>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</si>
  <si>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</si>
  <si>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</si>
  <si>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</si>
  <si>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</si>
  <si>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</si>
  <si>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</si>
  <si>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</si>
  <si>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</si>
  <si>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</si>
  <si>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</si>
  <si>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</si>
  <si>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</si>
  <si>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</si>
  <si>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</si>
  <si>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</si>
  <si>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</si>
  <si>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</si>
  <si>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</si>
  <si>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</si>
  <si>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</si>
  <si>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</si>
  <si>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</si>
  <si>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</si>
  <si>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</si>
  <si>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</si>
  <si>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</si>
  <si>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</si>
  <si>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</si>
  <si>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</si>
  <si>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</si>
  <si>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</si>
  <si>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</si>
  <si>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</si>
  <si>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</si>
  <si>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</si>
  <si>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</si>
  <si>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</si>
  <si>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</si>
  <si>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</si>
  <si>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</si>
  <si>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</si>
  <si>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</si>
  <si>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</si>
  <si>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</si>
  <si>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</si>
  <si>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</si>
  <si>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</si>
  <si>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</si>
  <si>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</si>
  <si>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</si>
  <si>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</si>
  <si>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</si>
  <si>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</si>
  <si>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</si>
  <si>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</si>
  <si>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</si>
  <si>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</si>
  <si>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</si>
  <si>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</si>
  <si>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</si>
  <si>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</si>
  <si>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</si>
  <si>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</si>
  <si>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</si>
  <si>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</si>
  <si>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</si>
  <si>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</si>
  <si>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</si>
  <si>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</si>
  <si>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</si>
  <si>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</si>
  <si>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</si>
  <si>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</si>
  <si>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</si>
  <si>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</si>
  <si>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</si>
  <si>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</si>
  <si>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</si>
  <si>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</si>
  <si>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</si>
  <si>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</si>
  <si>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</si>
  <si>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</si>
  <si>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</si>
  <si>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</si>
  <si>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</si>
  <si>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</si>
  <si>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</si>
  <si>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</si>
  <si>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</si>
  <si>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</si>
  <si>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</si>
  <si>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</si>
  <si>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</si>
  <si>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</si>
  <si>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</si>
  <si>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</si>
  <si>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</si>
  <si>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</si>
  <si>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</si>
  <si>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</si>
  <si>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</si>
  <si>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</si>
  <si>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</si>
  <si>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</si>
  <si>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</si>
  <si>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</si>
  <si>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</si>
  <si>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</si>
  <si>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</si>
  <si>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</si>
  <si>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</si>
  <si>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</si>
  <si>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</si>
  <si>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</si>
  <si>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</si>
  <si>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</si>
  <si>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</si>
  <si>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</si>
  <si>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</si>
  <si>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</si>
  <si>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</si>
  <si>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</si>
  <si>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</si>
  <si>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</si>
  <si>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</si>
  <si>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</si>
  <si>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</si>
  <si>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</si>
  <si>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</si>
  <si>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</si>
  <si>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</si>
  <si>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</si>
  <si>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</si>
  <si>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</si>
  <si>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</si>
  <si>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</si>
  <si>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</si>
  <si>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</si>
  <si>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</si>
  <si>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</si>
  <si>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</si>
  <si>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</si>
  <si>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</si>
  <si>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</si>
  <si>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</si>
  <si>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</si>
  <si>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</si>
  <si>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</si>
  <si>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</si>
  <si>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</si>
  <si>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</si>
  <si>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</si>
  <si>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</si>
  <si>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</si>
  <si>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</si>
  <si>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</si>
  <si>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</si>
  <si>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</si>
  <si>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</si>
  <si>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</si>
  <si>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</si>
  <si>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</si>
  <si>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</si>
  <si>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</si>
  <si>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</si>
  <si>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</si>
  <si>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</si>
  <si>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</si>
  <si>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</si>
  <si>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</si>
  <si>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</si>
  <si>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</si>
  <si>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</si>
  <si>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</si>
  <si>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</si>
  <si>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</si>
  <si>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</si>
  <si>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</si>
  <si>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</si>
  <si>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</si>
  <si>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</si>
  <si>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</si>
  <si>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</si>
  <si>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</si>
  <si>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</si>
  <si>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</si>
  <si>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</si>
  <si>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</si>
  <si>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</si>
  <si>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</si>
  <si>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</si>
  <si>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</si>
  <si>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</si>
  <si>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</si>
  <si>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</si>
  <si>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</si>
  <si>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</si>
  <si>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</si>
  <si>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</si>
  <si>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</si>
  <si>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</si>
  <si>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</si>
  <si>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</si>
  <si>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</si>
  <si>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</si>
  <si>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</si>
  <si>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</si>
  <si>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</si>
  <si>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</si>
  <si>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</si>
  <si>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</si>
  <si>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</si>
  <si>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</si>
  <si>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</si>
  <si>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</si>
  <si>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</si>
  <si>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</si>
  <si>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</si>
  <si>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</si>
  <si>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</si>
  <si>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</si>
  <si>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</si>
  <si>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</si>
  <si>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</si>
  <si>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</si>
  <si>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</si>
  <si>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</si>
  <si>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</si>
  <si>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</si>
  <si>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</si>
  <si>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</si>
  <si>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</si>
  <si>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</si>
  <si>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</si>
  <si>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</si>
  <si>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</si>
  <si>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</si>
  <si>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</si>
  <si>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</si>
  <si>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</si>
  <si>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</si>
  <si>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</si>
  <si>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</si>
  <si>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</si>
  <si>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</si>
  <si>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</si>
  <si>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</si>
  <si>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</si>
  <si>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</si>
  <si>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</si>
  <si>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</si>
  <si>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</si>
  <si>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</si>
  <si>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</si>
  <si>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</si>
  <si>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</si>
  <si>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</si>
  <si>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</si>
  <si>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</si>
  <si>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</si>
  <si>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</si>
  <si>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</si>
  <si>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</si>
  <si>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</si>
  <si>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</si>
  <si>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</si>
  <si>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</si>
  <si>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</si>
  <si>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</si>
  <si>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</si>
  <si>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</si>
  <si>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</si>
  <si>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</si>
  <si>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</si>
  <si>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</si>
  <si>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</si>
  <si>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</si>
  <si>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</si>
  <si>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</si>
  <si>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</si>
  <si>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</si>
  <si>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</si>
  <si>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</si>
  <si>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</si>
  <si>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</si>
  <si>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</si>
  <si>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</si>
  <si>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</si>
  <si>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</si>
  <si>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</si>
  <si>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</si>
  <si>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</si>
  <si>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</si>
  <si>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</si>
  <si>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</si>
  <si>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</si>
  <si>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</si>
  <si>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</si>
  <si>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</si>
  <si>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</si>
  <si>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</si>
  <si>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</si>
  <si>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</si>
  <si>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</si>
  <si>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</si>
  <si>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</si>
  <si>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</si>
  <si>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</si>
  <si>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</si>
  <si>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</si>
  <si>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</si>
  <si>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</si>
  <si>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</si>
  <si>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</si>
  <si>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</si>
  <si>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</si>
  <si>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</si>
  <si>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</si>
  <si>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</si>
  <si>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</si>
  <si>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</si>
  <si>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</si>
  <si>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</si>
  <si>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</si>
  <si>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</si>
  <si>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</si>
  <si>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</si>
  <si>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</si>
  <si>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</si>
  <si>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</si>
  <si>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</si>
  <si>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</si>
  <si>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</si>
  <si>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</si>
  <si>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</si>
  <si>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</si>
  <si>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</si>
  <si>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</si>
  <si>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</si>
  <si>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</si>
  <si>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</si>
  <si>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</si>
  <si>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</si>
  <si>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</si>
  <si>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</si>
  <si>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</si>
  <si>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</si>
  <si>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</si>
  <si>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</si>
  <si>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</si>
  <si>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</si>
  <si>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</si>
  <si>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</si>
  <si>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</si>
  <si>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</si>
  <si>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</si>
  <si>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</si>
  <si>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</si>
  <si>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</si>
  <si>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</si>
  <si>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</si>
  <si>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</si>
  <si>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</si>
  <si>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</si>
  <si>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</si>
  <si>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</si>
  <si>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</si>
  <si>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</si>
  <si>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</si>
  <si>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</si>
  <si>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</si>
  <si>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</si>
  <si>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</si>
  <si>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</si>
  <si>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</si>
  <si>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</si>
  <si>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</si>
  <si>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</si>
  <si>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</si>
  <si>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</si>
  <si>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</si>
  <si>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</si>
  <si>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</si>
  <si>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</si>
  <si>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</si>
  <si>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</si>
  <si>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</si>
  <si>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</si>
  <si>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</si>
  <si>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</si>
  <si>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</si>
  <si>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</si>
  <si>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</si>
  <si>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</si>
  <si>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</si>
  <si>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</si>
  <si>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</si>
  <si>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</si>
  <si>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</si>
  <si>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</si>
  <si>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</si>
  <si>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</si>
  <si>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</si>
  <si>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</si>
  <si>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</si>
  <si>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</si>
  <si>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</si>
  <si>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</si>
  <si>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</si>
  <si>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</si>
  <si>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</si>
  <si>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</si>
  <si>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</si>
  <si>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</si>
  <si>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</si>
  <si>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</si>
  <si>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</si>
  <si>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</si>
  <si>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</si>
  <si>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</si>
  <si>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</si>
  <si>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</si>
  <si>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</si>
  <si>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</si>
  <si>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</si>
  <si>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</si>
  <si>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</si>
  <si>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</si>
  <si>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</si>
  <si>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</si>
  <si>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</si>
  <si>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</si>
  <si>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</si>
  <si>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</si>
  <si>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</si>
  <si>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</si>
  <si>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</si>
  <si>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</si>
  <si>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</si>
  <si>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</si>
  <si>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</si>
  <si>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</si>
  <si>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</si>
  <si>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</si>
  <si>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</si>
  <si>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</si>
  <si>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</si>
  <si>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</si>
  <si>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</si>
  <si>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</si>
  <si>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</si>
  <si>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</si>
  <si>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</si>
  <si>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</si>
  <si>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</si>
  <si>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</si>
  <si>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</si>
  <si>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</si>
  <si>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</si>
  <si>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</si>
  <si>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</si>
  <si>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</si>
  <si>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</si>
  <si>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</si>
  <si>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</si>
  <si>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</si>
  <si>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</si>
  <si>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</si>
  <si>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</si>
  <si>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</si>
  <si>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</si>
  <si>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</si>
  <si>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</si>
  <si>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</si>
  <si>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</si>
  <si>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</si>
  <si>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</si>
  <si>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</si>
  <si>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</si>
  <si>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</si>
  <si>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</si>
  <si>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</si>
  <si>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</si>
  <si>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</si>
  <si>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</si>
  <si>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</si>
  <si>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</si>
  <si>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</si>
  <si>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</si>
  <si>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</si>
  <si>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</si>
  <si>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</si>
  <si>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</si>
  <si>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</si>
  <si>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</si>
  <si>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</si>
  <si>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</si>
  <si>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</si>
  <si>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</si>
  <si>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</si>
  <si>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</si>
  <si>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</si>
  <si>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</si>
  <si>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</si>
  <si>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</si>
  <si>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</si>
  <si>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</si>
  <si>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</si>
  <si>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</si>
  <si>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</si>
  <si>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</si>
  <si>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</si>
  <si>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</si>
  <si>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</si>
  <si>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</si>
  <si>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</si>
  <si>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</si>
  <si>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</si>
  <si>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</si>
  <si>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</si>
  <si>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</si>
  <si>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</si>
  <si>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</si>
  <si>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</si>
  <si>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</si>
  <si>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</si>
  <si>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</si>
  <si>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</si>
  <si>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</si>
  <si>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</si>
  <si>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</si>
  <si>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</si>
  <si>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</si>
  <si>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</si>
  <si>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</si>
  <si>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</si>
  <si>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</si>
  <si>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</si>
  <si>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</si>
  <si>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</si>
  <si>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</si>
  <si>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</si>
  <si>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</si>
  <si>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</si>
  <si>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</si>
  <si>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</si>
  <si>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</si>
  <si>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</si>
  <si>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</si>
  <si>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</si>
  <si>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</si>
  <si>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</si>
  <si>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</si>
  <si>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</si>
  <si>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</si>
  <si>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</si>
  <si>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</si>
  <si>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</si>
  <si>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</si>
  <si>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</si>
  <si>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</si>
  <si>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</si>
  <si>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</si>
  <si>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</si>
  <si>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</si>
  <si>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</si>
  <si>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</si>
  <si>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</si>
  <si>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</si>
  <si>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</si>
  <si>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</si>
  <si>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</si>
  <si>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</si>
  <si>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</si>
  <si>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</si>
  <si>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</si>
  <si>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</si>
  <si>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</si>
  <si>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</si>
  <si>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</si>
  <si>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</si>
  <si>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</si>
  <si>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</si>
  <si>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</si>
  <si>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</si>
  <si>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</si>
  <si>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</si>
  <si>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</si>
  <si>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</si>
  <si>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</si>
  <si>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</si>
  <si>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</si>
  <si>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</si>
  <si>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</si>
  <si>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</si>
  <si>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</si>
  <si>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</si>
  <si>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</si>
  <si>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</si>
  <si>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</si>
  <si>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</si>
  <si>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</si>
  <si>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</si>
  <si>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</si>
  <si>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</si>
  <si>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</si>
  <si>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</si>
  <si>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</si>
  <si>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</si>
  <si>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</si>
  <si>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</si>
  <si>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</si>
  <si>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</si>
  <si>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</si>
  <si>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</si>
  <si>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</si>
  <si>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</si>
  <si>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</si>
  <si>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</si>
  <si>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</si>
  <si>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</si>
  <si>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</si>
  <si>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</si>
  <si>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</si>
  <si>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</si>
  <si>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</si>
  <si>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</si>
  <si>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</si>
  <si>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</si>
  <si>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</si>
  <si>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</si>
  <si>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</si>
  <si>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</si>
  <si>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</si>
  <si>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</si>
  <si>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</si>
  <si>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</si>
  <si>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</si>
  <si>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</si>
  <si>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</si>
  <si>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</si>
  <si>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</si>
  <si>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</si>
  <si>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</si>
  <si>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</si>
  <si>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</si>
  <si>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</si>
  <si>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</si>
  <si>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</si>
  <si>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</si>
  <si>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</si>
  <si>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</si>
  <si>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</si>
  <si>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</si>
  <si>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</si>
  <si>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</si>
  <si>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</si>
  <si>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</si>
  <si>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</si>
  <si>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</si>
  <si>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</si>
  <si>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</si>
  <si>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</si>
  <si>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</si>
  <si>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</si>
  <si>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</si>
  <si>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</si>
  <si>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</si>
  <si>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</si>
  <si>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</si>
  <si>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</si>
  <si>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</si>
  <si>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</si>
  <si>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</si>
  <si>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</si>
  <si>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</si>
  <si>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</si>
  <si>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</si>
  <si>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</si>
  <si>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</si>
  <si>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</si>
  <si>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</si>
  <si>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</si>
  <si>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</si>
  <si>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</si>
  <si>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</si>
  <si>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</si>
  <si>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</si>
  <si>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</si>
  <si>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</si>
  <si>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</si>
  <si>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</si>
  <si>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</si>
  <si>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</si>
  <si>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</si>
  <si>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</si>
  <si>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</si>
  <si>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</si>
  <si>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</si>
  <si>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</si>
  <si>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</si>
  <si>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</si>
  <si>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</si>
  <si>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</si>
  <si>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</si>
  <si>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</si>
  <si>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</si>
  <si>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</si>
  <si>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</si>
  <si>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</si>
  <si>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</si>
  <si>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</si>
  <si>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</si>
  <si>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</si>
  <si>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</si>
  <si>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</si>
  <si>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</si>
  <si>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</si>
  <si>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</si>
  <si>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</si>
  <si>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</si>
  <si>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</si>
  <si>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</si>
  <si>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</si>
  <si>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</si>
  <si>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</si>
  <si>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</si>
  <si>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</si>
  <si>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</si>
  <si>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</si>
  <si>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</si>
  <si>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</si>
  <si>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</si>
  <si>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</si>
  <si>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</si>
  <si>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</si>
  <si>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</si>
  <si>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</si>
  <si>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</si>
  <si>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</si>
  <si>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</si>
  <si>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</si>
  <si>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</si>
  <si>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</si>
  <si>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</si>
  <si>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</si>
  <si>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</si>
  <si>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</si>
  <si>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</si>
  <si>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</si>
  <si>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</si>
  <si>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</si>
  <si>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</si>
  <si>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</si>
  <si>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</si>
  <si>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</si>
  <si>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</si>
  <si>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</si>
  <si>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</si>
  <si>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</si>
  <si>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</si>
  <si>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</si>
  <si>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</si>
  <si>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</si>
  <si>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</si>
  <si>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</si>
  <si>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</si>
  <si>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</si>
  <si>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</si>
  <si>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</si>
  <si>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</si>
  <si>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</si>
  <si>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</si>
  <si>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</si>
  <si>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</si>
  <si>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</si>
  <si>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</si>
  <si>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</si>
  <si>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</si>
  <si>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</si>
  <si>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</si>
  <si>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</si>
  <si>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</si>
  <si>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</si>
  <si>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</si>
  <si>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</si>
  <si>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</si>
  <si>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</si>
  <si>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</si>
  <si>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</si>
  <si>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</si>
  <si>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</si>
  <si>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</si>
  <si>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</si>
  <si>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</si>
  <si>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</si>
  <si>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</si>
  <si>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</si>
  <si>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</si>
  <si>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</si>
  <si>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</si>
  <si>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</si>
  <si>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</si>
  <si>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</si>
  <si>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</si>
  <si>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</si>
  <si>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</si>
  <si>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</si>
  <si>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</si>
  <si>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</si>
  <si>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</si>
  <si>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</si>
  <si>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</si>
  <si>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</si>
  <si>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</si>
  <si>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</si>
  <si>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</si>
  <si>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</si>
  <si>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</si>
  <si>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</si>
  <si>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</si>
  <si>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</si>
  <si>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</si>
  <si>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</si>
  <si>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</si>
  <si>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</si>
  <si>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</si>
  <si>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</si>
  <si>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</si>
  <si>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</si>
  <si>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</si>
  <si>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</si>
  <si>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</si>
  <si>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</si>
  <si>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</si>
  <si>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</si>
  <si>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</si>
  <si>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</si>
  <si>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</si>
  <si>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</si>
  <si>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</si>
  <si>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</si>
  <si>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</si>
  <si>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</si>
  <si>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</si>
  <si>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</si>
  <si>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</si>
  <si>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</si>
  <si>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</si>
  <si>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</si>
  <si>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</si>
  <si>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</si>
  <si>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</si>
  <si>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</si>
  <si>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</si>
  <si>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</si>
  <si>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</si>
  <si>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</si>
  <si>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</si>
  <si>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</si>
  <si>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</si>
  <si>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</si>
  <si>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</si>
  <si>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</si>
  <si>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</si>
  <si>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</si>
  <si>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</si>
  <si>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</si>
  <si>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</si>
  <si>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</si>
  <si>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</si>
  <si>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</si>
  <si>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</si>
  <si>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</si>
  <si>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</si>
  <si>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</si>
  <si>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</si>
  <si>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</si>
  <si>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</si>
  <si>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</si>
  <si>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</si>
  <si>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</si>
  <si>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</si>
  <si>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</si>
  <si>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</si>
  <si>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</si>
  <si>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</si>
  <si>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</si>
  <si>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</si>
  <si>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</si>
  <si>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</si>
  <si>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</si>
  <si>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</si>
  <si>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</si>
  <si>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</si>
  <si>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</si>
  <si>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</si>
  <si>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</si>
  <si>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</si>
  <si>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</si>
  <si>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</si>
  <si>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</si>
  <si>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</si>
  <si>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</si>
  <si>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</si>
  <si>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</si>
  <si>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</si>
  <si>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</si>
  <si>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</si>
  <si>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</si>
  <si>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</si>
  <si>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</si>
  <si>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</si>
  <si>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</si>
  <si>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</si>
  <si>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</si>
  <si>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</si>
  <si>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</si>
  <si>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</si>
  <si>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</si>
  <si>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</si>
  <si>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</si>
  <si>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</si>
  <si>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</si>
  <si>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</si>
  <si>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</si>
  <si>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</si>
  <si>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</si>
  <si>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</si>
  <si>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</si>
  <si>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</si>
  <si>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</si>
  <si>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</si>
  <si>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</si>
  <si>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</si>
  <si>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</si>
  <si>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</si>
  <si>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</si>
  <si>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</si>
  <si>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</si>
  <si>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</si>
  <si>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</si>
  <si>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</si>
  <si>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</si>
  <si>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</si>
  <si>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</si>
  <si>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</si>
  <si>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</si>
  <si>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</si>
  <si>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</si>
  <si>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</si>
  <si>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</si>
  <si>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</si>
  <si>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</si>
  <si>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</si>
  <si>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</si>
  <si>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</si>
  <si>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</si>
  <si>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</si>
  <si>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</si>
  <si>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</si>
  <si>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</si>
  <si>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</si>
  <si>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</si>
  <si>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</si>
  <si>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</si>
  <si>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</si>
  <si>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</si>
  <si>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</si>
  <si>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</si>
  <si>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</si>
  <si>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</si>
  <si>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</si>
  <si>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</si>
  <si>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</si>
  <si>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</si>
  <si>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</si>
  <si>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</si>
  <si>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</si>
  <si>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</si>
  <si>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</si>
  <si>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</si>
  <si>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</si>
  <si>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</si>
  <si>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</si>
  <si>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</si>
  <si>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</si>
  <si>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</si>
  <si>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</si>
  <si>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</si>
  <si>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</si>
  <si>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</si>
  <si>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</si>
  <si>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</si>
  <si>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</si>
  <si>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</si>
  <si>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</si>
  <si>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</si>
  <si>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</si>
  <si>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</si>
  <si>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</si>
  <si>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</si>
  <si>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</si>
  <si>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</si>
  <si>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</si>
  <si>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</si>
  <si>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</si>
  <si>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</si>
  <si>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</si>
  <si>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</si>
  <si>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</si>
  <si>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</si>
  <si>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</si>
  <si>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</si>
  <si>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</si>
  <si>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</si>
  <si>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</si>
  <si>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</si>
  <si>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</si>
  <si>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</si>
  <si>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</si>
  <si>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</si>
  <si>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</si>
  <si>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</si>
  <si>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</si>
  <si>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</si>
  <si>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</si>
  <si>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</si>
  <si>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</si>
  <si>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</si>
  <si>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</si>
  <si>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</si>
  <si>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</si>
  <si>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</si>
  <si>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</si>
  <si>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</si>
  <si>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</si>
  <si>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</si>
  <si>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</si>
  <si>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</si>
  <si>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</si>
  <si>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</si>
  <si>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</si>
  <si>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</si>
  <si>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</si>
  <si>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</si>
  <si>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</si>
  <si>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</si>
  <si>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</si>
  <si>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</si>
  <si>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</si>
  <si>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</si>
  <si>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</si>
  <si>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</si>
  <si>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</si>
  <si>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</si>
  <si>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</si>
  <si>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</si>
  <si>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</si>
  <si>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</si>
  <si>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</si>
  <si>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</si>
  <si>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</si>
  <si>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</si>
  <si>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</si>
  <si>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</si>
  <si>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</si>
  <si>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</si>
  <si>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</si>
  <si>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</si>
  <si>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</si>
  <si>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</si>
  <si>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</si>
  <si>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</si>
  <si>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</si>
  <si>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</si>
  <si>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</si>
  <si>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</si>
  <si>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</si>
  <si>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</si>
  <si>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</si>
  <si>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</si>
  <si>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</si>
  <si>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</si>
  <si>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</si>
  <si>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</si>
  <si>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</si>
  <si>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</si>
  <si>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</si>
  <si>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</si>
  <si>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</si>
  <si>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</si>
  <si>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</si>
  <si>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</si>
  <si>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</si>
  <si>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</si>
  <si>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</si>
  <si>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</si>
  <si>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</si>
  <si>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</si>
  <si>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</si>
  <si>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</si>
  <si>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</si>
  <si>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</si>
  <si>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</si>
  <si>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</si>
  <si>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</si>
  <si>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</si>
  <si>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</si>
  <si>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</si>
  <si>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</si>
  <si>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</si>
  <si>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</si>
  <si>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</si>
  <si>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</si>
  <si>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</si>
  <si>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</si>
  <si>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</si>
  <si>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</si>
  <si>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</si>
  <si>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</si>
  <si>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</si>
  <si>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</si>
  <si>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</si>
  <si>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</si>
  <si>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</si>
  <si>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</si>
  <si>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</si>
  <si>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</si>
  <si>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</si>
  <si>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</si>
  <si>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</si>
  <si>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</si>
  <si>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</si>
  <si>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</si>
  <si>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</si>
  <si>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</si>
  <si>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</si>
  <si>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</si>
  <si>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</si>
  <si>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</si>
  <si>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</si>
  <si>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</si>
  <si>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</si>
  <si>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</si>
  <si>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</si>
  <si>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</si>
  <si>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</si>
  <si>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</si>
  <si>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</si>
  <si>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</si>
  <si>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</si>
  <si>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</si>
  <si>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</si>
  <si>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</si>
  <si>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</si>
  <si>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</si>
  <si>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</si>
  <si>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</si>
  <si>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</si>
  <si>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</si>
  <si>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</si>
  <si>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</si>
  <si>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</si>
  <si>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</si>
  <si>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</si>
  <si>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</si>
  <si>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</si>
  <si>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</si>
  <si>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</si>
  <si>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</si>
  <si>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</si>
  <si>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</si>
  <si>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</si>
  <si>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</si>
  <si>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</si>
  <si>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</si>
  <si>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</si>
  <si>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</si>
  <si>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</si>
  <si>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</si>
  <si>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</si>
  <si>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</si>
  <si>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</si>
  <si>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</si>
  <si>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</si>
  <si>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</si>
  <si>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</si>
  <si>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</si>
  <si>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</si>
  <si>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</si>
  <si>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</si>
  <si>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</si>
  <si>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</si>
  <si>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</si>
  <si>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</si>
  <si>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</si>
  <si>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</si>
  <si>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</si>
  <si>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</si>
  <si>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</si>
  <si>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</si>
  <si>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</si>
  <si>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</si>
  <si>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</si>
  <si>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</si>
  <si>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</si>
  <si>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</si>
  <si>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</si>
  <si>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</si>
  <si>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</si>
  <si>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</si>
  <si>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</si>
  <si>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</si>
  <si>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</si>
  <si>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</si>
  <si>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</si>
  <si>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</si>
  <si>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</si>
  <si>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</si>
  <si>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</si>
  <si>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</si>
  <si>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</si>
  <si>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</si>
  <si>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</si>
  <si>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</si>
  <si>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</si>
  <si>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</si>
  <si>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</si>
  <si>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</si>
  <si>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</si>
  <si>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</si>
  <si>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</si>
  <si>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</si>
  <si>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</si>
  <si>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</si>
  <si>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</si>
  <si>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</si>
  <si>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</si>
  <si>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</si>
  <si>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</si>
  <si>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</si>
  <si>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</si>
  <si>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</si>
  <si>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</si>
  <si>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</si>
  <si>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</si>
  <si>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</si>
  <si>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</si>
  <si>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</si>
  <si>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</si>
  <si>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</si>
  <si>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</si>
  <si>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</si>
  <si>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</si>
  <si>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</si>
  <si>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</si>
  <si>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</si>
  <si>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</si>
  <si>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</si>
  <si>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</si>
  <si>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</si>
  <si>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</si>
  <si>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</si>
  <si>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</si>
  <si>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</si>
  <si>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</si>
  <si>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</si>
  <si>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</si>
  <si>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</si>
  <si>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</si>
  <si>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</si>
  <si>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</si>
  <si>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</si>
  <si>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</si>
  <si>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</si>
  <si>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</si>
  <si>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</si>
  <si>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</si>
  <si>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</si>
  <si>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</si>
  <si>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</si>
  <si>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</si>
  <si>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</si>
  <si>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</si>
  <si>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</si>
  <si>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</si>
  <si>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</si>
  <si>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</si>
  <si>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</si>
  <si>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</si>
  <si>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</si>
  <si>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</si>
  <si>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</si>
  <si>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</si>
  <si>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</si>
  <si>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</si>
  <si>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</si>
  <si>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</si>
  <si>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</si>
  <si>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</si>
  <si>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</si>
  <si>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</si>
  <si>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</si>
  <si>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</si>
  <si>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</si>
  <si>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</si>
  <si>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</si>
  <si>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</si>
  <si>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</si>
  <si>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</si>
  <si>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</si>
  <si>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</si>
  <si>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</si>
  <si>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</si>
  <si>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</si>
  <si>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</si>
  <si>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</si>
  <si>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</si>
  <si>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</si>
  <si>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</si>
  <si>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</si>
  <si>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</si>
  <si>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</si>
  <si>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</si>
  <si>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</si>
  <si>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</si>
  <si>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</si>
  <si>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</si>
  <si>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</si>
  <si>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</si>
  <si>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</si>
  <si>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</si>
  <si>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</si>
  <si>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</si>
  <si>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</si>
  <si>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</si>
  <si>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</si>
  <si>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</si>
  <si>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</si>
  <si>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</si>
  <si>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</si>
  <si>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</si>
  <si>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</si>
  <si>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</si>
  <si>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</si>
  <si>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</si>
  <si>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</si>
  <si>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</si>
  <si>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</si>
  <si>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</si>
  <si>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</si>
  <si>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</si>
  <si>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</si>
  <si>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</si>
  <si>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</si>
  <si>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</si>
  <si>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</si>
  <si>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</si>
  <si>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</si>
  <si>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</si>
  <si>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</si>
  <si>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</si>
  <si>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</si>
  <si>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</si>
  <si>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</si>
  <si>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</si>
  <si>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</si>
  <si>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</si>
  <si>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</si>
  <si>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</si>
  <si>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</si>
  <si>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</si>
  <si>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</si>
  <si>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</si>
  <si>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</si>
  <si>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</si>
  <si>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</si>
  <si>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</si>
  <si>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</si>
  <si>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</si>
  <si>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</si>
  <si>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</si>
  <si>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</si>
  <si>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</si>
  <si>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</si>
  <si>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</si>
  <si>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</si>
  <si>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</si>
  <si>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</si>
  <si>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</si>
  <si>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</si>
  <si>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</si>
  <si>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</si>
  <si>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</si>
  <si>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</si>
  <si>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</si>
  <si>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</si>
  <si>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</si>
  <si>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</si>
  <si>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</si>
  <si>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</si>
  <si>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</si>
  <si>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</si>
  <si>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</si>
  <si>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</si>
  <si>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</si>
  <si>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</si>
  <si>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</si>
  <si>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</si>
  <si>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</si>
  <si>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</si>
  <si>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</si>
  <si>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</si>
  <si>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</si>
  <si>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</si>
  <si>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</si>
  <si>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</si>
  <si>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</si>
  <si>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</si>
  <si>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</si>
  <si>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</si>
  <si>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</si>
  <si>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</si>
  <si>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</si>
  <si>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</si>
  <si>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</si>
  <si>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</si>
  <si>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</si>
  <si>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</si>
  <si>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</si>
  <si>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</si>
  <si>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</si>
  <si>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</si>
  <si>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</si>
  <si>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</si>
  <si>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</si>
  <si>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</si>
  <si>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</si>
  <si>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</si>
  <si>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</si>
  <si>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</si>
  <si>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</si>
  <si>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</si>
  <si>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</si>
  <si>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</si>
  <si>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</si>
  <si>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</si>
  <si>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</si>
  <si>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</si>
  <si>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</si>
  <si>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</si>
  <si>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</si>
  <si>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</si>
  <si>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</si>
  <si>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</si>
  <si>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</si>
  <si>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</si>
  <si>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</si>
  <si>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</si>
  <si>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</si>
  <si>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</si>
  <si>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</si>
  <si>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</si>
  <si>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</si>
  <si>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</si>
  <si>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</si>
  <si>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</si>
  <si>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</si>
  <si>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</si>
  <si>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</si>
  <si>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</si>
  <si>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</si>
  <si>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</si>
  <si>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</si>
  <si>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</si>
  <si>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</si>
  <si>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</si>
  <si>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</si>
  <si>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</si>
  <si>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</si>
  <si>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</si>
  <si>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</si>
  <si>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</si>
  <si>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</si>
  <si>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</si>
  <si>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</si>
  <si>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</si>
  <si>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</si>
  <si>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</si>
  <si>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</si>
  <si>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</si>
  <si>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</si>
  <si>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</si>
  <si>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</si>
  <si>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</si>
  <si>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</si>
  <si>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</si>
  <si>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</si>
  <si>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</si>
  <si>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</si>
  <si>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</si>
  <si>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</si>
  <si>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</si>
  <si>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</si>
  <si>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</si>
  <si>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</si>
  <si>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</si>
  <si>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</si>
  <si>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</si>
  <si>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</si>
  <si>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</si>
  <si>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</si>
  <si>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</si>
  <si>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</si>
  <si>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</si>
  <si>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</si>
  <si>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</si>
  <si>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</si>
  <si>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</si>
  <si>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</si>
  <si>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</si>
  <si>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</si>
  <si>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</si>
  <si>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</si>
  <si>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</si>
  <si>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</si>
  <si>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</si>
  <si>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</si>
  <si>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</si>
  <si>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</si>
  <si>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</si>
  <si>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</si>
  <si>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</si>
  <si>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</si>
  <si>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</si>
  <si>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</si>
  <si>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</si>
  <si>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</si>
  <si>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</si>
  <si>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</si>
  <si>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</si>
  <si>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</si>
  <si>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</si>
  <si>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</si>
  <si>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</si>
  <si>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</si>
  <si>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</si>
  <si>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</si>
  <si>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</si>
  <si>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</si>
  <si>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</si>
  <si>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</si>
  <si>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</si>
  <si>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</si>
  <si>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</si>
  <si>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</si>
  <si>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</si>
  <si>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</si>
  <si>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</si>
  <si>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</si>
  <si>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</si>
  <si>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</si>
  <si>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</si>
  <si>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</si>
  <si>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</si>
  <si>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</si>
  <si>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</si>
  <si>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</si>
  <si>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</si>
  <si>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</si>
  <si>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</si>
  <si>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</si>
  <si>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</si>
  <si>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</si>
  <si>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</si>
  <si>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</si>
  <si>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</si>
  <si>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</si>
  <si>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</si>
  <si>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</si>
  <si>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</si>
  <si>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</si>
  <si>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</si>
  <si>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</si>
  <si>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</si>
  <si>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</si>
  <si>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</si>
  <si>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</si>
  <si>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</si>
  <si>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</si>
  <si>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</si>
  <si>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</si>
  <si>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</si>
  <si>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</si>
  <si>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</si>
  <si>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</si>
  <si>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</si>
  <si>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</si>
  <si>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</si>
  <si>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</si>
  <si>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</si>
  <si>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</si>
  <si>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</si>
  <si>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</si>
  <si>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</si>
  <si>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</si>
  <si>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</si>
  <si>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</si>
  <si>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</si>
  <si>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</si>
  <si>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</si>
  <si>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</si>
  <si>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</si>
  <si>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</si>
  <si>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</si>
  <si>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</si>
  <si>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</si>
  <si>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</si>
  <si>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</si>
  <si>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</si>
  <si>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</si>
  <si>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</si>
  <si>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</si>
  <si>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</si>
  <si>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</si>
  <si>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</si>
  <si>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</si>
  <si>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</si>
  <si>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</si>
  <si>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</si>
  <si>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</si>
  <si>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</si>
  <si>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</si>
  <si>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</si>
  <si>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</si>
  <si>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</si>
  <si>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</si>
  <si>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</si>
  <si>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</si>
  <si>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</si>
  <si>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</si>
  <si>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</si>
  <si>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</si>
  <si>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</si>
  <si>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</si>
  <si>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</si>
  <si>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</si>
  <si>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</si>
  <si>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</si>
  <si>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</si>
  <si>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</si>
  <si>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</si>
  <si>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</si>
  <si>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</si>
  <si>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</si>
  <si>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</si>
  <si>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</si>
  <si>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</si>
  <si>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</si>
  <si>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</si>
  <si>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</si>
  <si>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</si>
  <si>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</si>
  <si>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</si>
  <si>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</si>
  <si>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</si>
  <si>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</si>
  <si>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</si>
  <si>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</si>
  <si>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</si>
  <si>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</si>
  <si>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</si>
  <si>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</si>
  <si>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</si>
  <si>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</si>
  <si>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</si>
  <si>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</si>
  <si>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</si>
  <si>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</si>
  <si>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</si>
  <si>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</si>
  <si>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</si>
  <si>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</si>
  <si>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</si>
  <si>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</si>
  <si>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</si>
  <si>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</si>
  <si>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</si>
  <si>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</si>
  <si>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</si>
  <si>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</si>
  <si>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</si>
  <si>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</si>
  <si>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</si>
  <si>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</si>
  <si>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</si>
  <si>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</si>
  <si>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</si>
  <si>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</si>
  <si>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</si>
  <si>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</si>
  <si>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</si>
  <si>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</si>
  <si>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</si>
  <si>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</si>
  <si>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</si>
  <si>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</si>
  <si>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</si>
  <si>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</si>
  <si>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</si>
  <si>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</si>
  <si>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</si>
  <si>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</si>
  <si>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</si>
  <si>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</si>
  <si>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</si>
  <si>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</si>
  <si>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</si>
  <si>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</si>
  <si>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</si>
  <si>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</si>
  <si>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</si>
  <si>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</si>
  <si>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</si>
  <si>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</si>
  <si>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</si>
  <si>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</si>
  <si>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</si>
  <si>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</si>
  <si>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</si>
  <si>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</si>
  <si>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</si>
  <si>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</si>
  <si>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</si>
  <si>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</si>
  <si>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</si>
  <si>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</si>
  <si>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</si>
  <si>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</si>
  <si>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</si>
  <si>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</si>
  <si>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</si>
  <si>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</si>
  <si>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</si>
  <si>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</si>
  <si>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</si>
  <si>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</si>
  <si>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</si>
  <si>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</si>
  <si>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</si>
  <si>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</si>
  <si>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</si>
  <si>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</si>
  <si>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</si>
  <si>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</si>
  <si>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</si>
  <si>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</si>
  <si>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</si>
  <si>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</si>
  <si>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</si>
  <si>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</si>
  <si>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</si>
  <si>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</si>
  <si>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</si>
  <si>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</si>
  <si>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</si>
  <si>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</si>
  <si>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</si>
  <si>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</si>
  <si>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</si>
  <si>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</si>
  <si>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</si>
  <si>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</si>
  <si>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</si>
  <si>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</si>
  <si>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</si>
  <si>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</si>
  <si>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</si>
  <si>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</si>
  <si>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</si>
  <si>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</si>
  <si>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</si>
  <si>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</si>
  <si>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</si>
  <si>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</si>
  <si>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</si>
  <si>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</si>
  <si>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</si>
  <si>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</si>
  <si>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</si>
  <si>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</si>
  <si>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</si>
  <si>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</si>
  <si>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</si>
  <si>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</si>
  <si>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</si>
  <si>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</si>
  <si>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</si>
  <si>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</si>
  <si>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</si>
  <si>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</si>
  <si>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</si>
  <si>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</si>
  <si>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</si>
  <si>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</si>
  <si>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</si>
  <si>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</si>
  <si>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</si>
  <si>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</si>
  <si>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</si>
  <si>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</si>
  <si>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</si>
  <si>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</si>
  <si>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</si>
  <si>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</si>
  <si>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</si>
  <si>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</si>
  <si>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</si>
  <si>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</si>
  <si>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</si>
  <si>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</si>
  <si>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</si>
  <si>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</si>
  <si>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</si>
  <si>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</si>
  <si>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</si>
  <si>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</si>
  <si>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</si>
  <si>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</si>
  <si>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</si>
  <si>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</si>
  <si>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</si>
  <si>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</si>
  <si>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</si>
  <si>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</si>
  <si>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</si>
  <si>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</si>
  <si>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</si>
  <si>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</si>
  <si>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</si>
  <si>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</si>
  <si>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</si>
  <si>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</si>
  <si>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</si>
  <si>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</si>
  <si>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</si>
  <si>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</si>
  <si>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</si>
  <si>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</si>
  <si>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</si>
  <si>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</si>
  <si>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</si>
  <si>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</si>
  <si>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</si>
  <si>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</si>
  <si>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</si>
  <si>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</si>
  <si>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</si>
  <si>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</si>
  <si>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</si>
  <si>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</si>
  <si>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</si>
  <si>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</si>
  <si>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</si>
  <si>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</si>
  <si>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</si>
  <si>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</si>
  <si>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</si>
  <si>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</si>
  <si>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</si>
  <si>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</si>
  <si>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</si>
  <si>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</si>
  <si>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</si>
  <si>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</si>
  <si>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</si>
  <si>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</si>
  <si>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</si>
  <si>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</si>
  <si>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</si>
  <si>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</si>
  <si>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</si>
  <si>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</si>
  <si>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</si>
  <si>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</si>
  <si>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</si>
  <si>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</si>
  <si>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</si>
  <si>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</si>
  <si>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</si>
  <si>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</si>
  <si>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</si>
  <si>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</si>
  <si>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</si>
  <si>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</si>
  <si>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</si>
  <si>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</si>
  <si>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</si>
  <si>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</si>
  <si>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</si>
  <si>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</si>
  <si>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</si>
  <si>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</si>
  <si>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</si>
  <si>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</si>
  <si>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</si>
  <si>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</si>
  <si>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</si>
  <si>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</si>
  <si>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</si>
  <si>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</si>
  <si>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</si>
  <si>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</si>
  <si>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</si>
  <si>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</si>
  <si>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</si>
  <si>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</si>
  <si>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</si>
  <si>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</si>
  <si>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</si>
  <si>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</si>
  <si>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</si>
  <si>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</si>
  <si>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</si>
  <si>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</si>
  <si>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</si>
  <si>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</si>
  <si>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</si>
  <si>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</si>
  <si>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</si>
  <si>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</si>
  <si>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</si>
  <si>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</si>
  <si>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</si>
  <si>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</si>
  <si>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</si>
  <si>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</si>
  <si>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</si>
  <si>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</si>
  <si>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</si>
  <si>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</si>
  <si>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</si>
  <si>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</si>
  <si>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</si>
  <si>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</si>
  <si>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</si>
  <si>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</si>
  <si>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</si>
  <si>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</si>
  <si>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</si>
  <si>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</si>
  <si>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</si>
  <si>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</si>
  <si>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</si>
  <si>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</si>
  <si>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</si>
  <si>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</si>
  <si>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</si>
  <si>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</si>
  <si>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</si>
  <si>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</si>
  <si>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</si>
  <si>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</si>
  <si>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</si>
  <si>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</si>
  <si>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</si>
  <si>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</si>
  <si>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</si>
  <si>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</si>
  <si>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</si>
  <si>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</si>
  <si>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</si>
  <si>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</si>
  <si>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</si>
  <si>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</si>
  <si>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</si>
  <si>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</si>
  <si>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</si>
  <si>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</si>
  <si>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</si>
  <si>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</si>
  <si>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</si>
  <si>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</si>
  <si>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</si>
  <si>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</si>
  <si>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</si>
  <si>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</si>
  <si>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</si>
  <si>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</si>
  <si>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</si>
  <si>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</si>
  <si>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</si>
  <si>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</si>
  <si>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</si>
  <si>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</si>
  <si>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</si>
  <si>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</si>
  <si>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</si>
  <si>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</si>
  <si>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</si>
  <si>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</si>
  <si>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</si>
  <si>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</si>
  <si>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</si>
  <si>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</si>
  <si>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</si>
  <si>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</si>
  <si>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</si>
  <si>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</si>
  <si>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</si>
  <si>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</si>
  <si>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</si>
  <si>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</si>
  <si>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</si>
  <si>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</si>
  <si>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</si>
  <si>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</si>
  <si>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</si>
  <si>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</si>
  <si>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</si>
  <si>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</si>
  <si>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</si>
  <si>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</si>
  <si>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</si>
  <si>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</si>
  <si>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</si>
  <si>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</si>
  <si>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</si>
  <si>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</si>
  <si>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</si>
  <si>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</si>
  <si>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</si>
  <si>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</si>
  <si>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</si>
  <si>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</si>
  <si>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</si>
  <si>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</si>
  <si>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</si>
  <si>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</si>
  <si>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</si>
  <si>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</si>
  <si>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</si>
  <si>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</si>
  <si>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</si>
  <si>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</si>
  <si>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</si>
  <si>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</si>
  <si>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</si>
  <si>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</si>
  <si>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</si>
  <si>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</si>
  <si>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</si>
  <si>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</si>
  <si>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</si>
  <si>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</si>
  <si>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</si>
  <si>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</si>
  <si>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</si>
  <si>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</si>
  <si>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</si>
  <si>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</si>
  <si>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</si>
  <si>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</si>
  <si>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</si>
  <si>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</si>
  <si>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</si>
  <si>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</si>
  <si>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</si>
  <si>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</si>
  <si>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</si>
  <si>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</si>
  <si>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</si>
  <si>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</si>
  <si>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</si>
  <si>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</si>
  <si>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</si>
  <si>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</si>
  <si>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</si>
  <si>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</si>
  <si>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</si>
  <si>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</si>
  <si>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</si>
  <si>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</si>
  <si>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</si>
  <si>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</si>
  <si>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</si>
  <si>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</si>
  <si>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</si>
  <si>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</si>
  <si>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</si>
  <si>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</si>
  <si>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</si>
  <si>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</si>
  <si>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</si>
  <si>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</si>
  <si>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</si>
  <si>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</si>
  <si>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</si>
  <si>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</si>
  <si>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</si>
  <si>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</si>
  <si>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</si>
  <si>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</si>
  <si>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</si>
  <si>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</si>
  <si>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</si>
  <si>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</si>
  <si>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</si>
  <si>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</si>
  <si>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</si>
  <si>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</si>
  <si>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</si>
  <si>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</si>
  <si>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</si>
  <si>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</si>
  <si>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</si>
  <si>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</si>
  <si>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</si>
  <si>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</si>
  <si>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</si>
  <si>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</si>
  <si>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</si>
  <si>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</si>
  <si>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</si>
  <si>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</si>
  <si>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</si>
  <si>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</si>
  <si>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</si>
  <si>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</si>
  <si>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</si>
  <si>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</si>
  <si>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</si>
  <si>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</si>
  <si>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</si>
  <si>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</si>
  <si>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</si>
  <si>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</si>
  <si>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</si>
  <si>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</si>
  <si>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</si>
  <si>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</si>
  <si>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</si>
  <si>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</si>
  <si>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</si>
  <si>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</si>
  <si>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</si>
  <si>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</si>
  <si>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</si>
  <si>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</si>
  <si>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</si>
  <si>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</si>
  <si>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</si>
  <si>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</si>
  <si>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</si>
  <si>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</si>
  <si>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</si>
  <si>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</si>
  <si>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</si>
  <si>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</si>
  <si>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</si>
  <si>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</si>
  <si>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</si>
  <si>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</si>
  <si>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</si>
  <si>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</si>
  <si>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</si>
  <si>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</si>
  <si>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</si>
  <si>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</si>
  <si>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</si>
  <si>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</si>
  <si>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</si>
  <si>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</si>
  <si>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</si>
  <si>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</si>
  <si>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</si>
  <si>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</si>
  <si>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</si>
  <si>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</si>
  <si>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</si>
  <si>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</si>
  <si>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</si>
  <si>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</si>
  <si>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</si>
  <si>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</si>
  <si>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</si>
  <si>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</si>
  <si>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</si>
  <si>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</si>
  <si>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</si>
  <si>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</si>
  <si>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</si>
  <si>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</si>
  <si>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</si>
  <si>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</si>
  <si>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</si>
  <si>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</si>
  <si>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</si>
  <si>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</si>
  <si>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</si>
  <si>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</si>
  <si>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</si>
  <si>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</si>
  <si>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</si>
  <si>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</si>
  <si>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</si>
  <si>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</si>
  <si>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</si>
  <si>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</si>
  <si>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</si>
  <si>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</si>
  <si>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</si>
  <si>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</si>
  <si>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</si>
  <si>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</si>
  <si>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</si>
  <si>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</si>
  <si>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</si>
  <si>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</si>
  <si>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</si>
  <si>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</si>
  <si>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</si>
  <si>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</si>
  <si>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</si>
  <si>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</si>
  <si>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</si>
  <si>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</si>
  <si>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</si>
  <si>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</si>
  <si>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</si>
  <si>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</si>
  <si>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</si>
  <si>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</si>
  <si>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</si>
  <si>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</si>
  <si>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</si>
  <si>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</si>
  <si>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</si>
  <si>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</si>
  <si>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</si>
  <si>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</si>
  <si>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</si>
  <si>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</si>
  <si>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</si>
  <si>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</si>
  <si>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</si>
  <si>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</si>
  <si>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</si>
  <si>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</si>
  <si>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</si>
  <si>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</si>
  <si>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</si>
  <si>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</si>
  <si>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</si>
  <si>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</si>
  <si>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</si>
  <si>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</si>
  <si>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</si>
  <si>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</si>
  <si>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</si>
  <si>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</si>
  <si>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</si>
  <si>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</si>
  <si>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</si>
  <si>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</si>
  <si>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</si>
  <si>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</si>
  <si>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</si>
  <si>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</si>
  <si>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</si>
  <si>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</si>
  <si>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</si>
  <si>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</si>
  <si>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</si>
  <si>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</si>
  <si>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</si>
  <si>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</si>
  <si>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</si>
  <si>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</si>
  <si>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</si>
  <si>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</si>
  <si>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</si>
  <si>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</si>
  <si>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</si>
  <si>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</si>
  <si>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</si>
  <si>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</si>
  <si>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</si>
  <si>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</si>
  <si>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</si>
  <si>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</si>
  <si>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</si>
  <si>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</si>
  <si>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</si>
  <si>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</si>
  <si>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</si>
  <si>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</si>
  <si>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</si>
  <si>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</si>
  <si>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</si>
  <si>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</si>
  <si>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</si>
  <si>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</si>
  <si>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</si>
  <si>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</si>
  <si>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</si>
  <si>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</si>
  <si>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</si>
  <si>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</si>
  <si>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</si>
  <si>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</si>
  <si>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</si>
  <si>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</si>
  <si>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</si>
  <si>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</si>
  <si>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</si>
  <si>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</si>
  <si>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</si>
  <si>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</si>
  <si>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</si>
  <si>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</si>
  <si>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</si>
  <si>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</si>
  <si>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</si>
  <si>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</si>
  <si>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</si>
  <si>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</si>
  <si>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</si>
  <si>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</si>
  <si>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</si>
  <si>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</si>
  <si>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</si>
  <si>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</si>
  <si>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</si>
  <si>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</si>
  <si>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</si>
  <si>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</si>
  <si>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</si>
  <si>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</si>
  <si>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</si>
  <si>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</si>
  <si>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</si>
  <si>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</si>
  <si>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</si>
  <si>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</si>
  <si>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</si>
  <si>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</si>
  <si>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</si>
  <si>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</si>
  <si>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</si>
  <si>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</si>
  <si>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</si>
  <si>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</si>
  <si>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</si>
  <si>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</si>
  <si>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</si>
  <si>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</si>
  <si>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</si>
  <si>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</si>
  <si>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</si>
  <si>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</si>
  <si>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</si>
  <si>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</si>
  <si>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</si>
  <si>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</si>
  <si>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</si>
  <si>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</si>
  <si>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</si>
  <si>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</si>
  <si>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</si>
  <si>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</si>
  <si>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</si>
  <si>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</si>
  <si>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</si>
  <si>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</si>
  <si>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</si>
  <si>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</si>
  <si>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</si>
  <si>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</si>
  <si>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</si>
  <si>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</si>
  <si>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</si>
  <si>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</si>
  <si>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</si>
  <si>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</si>
  <si>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</si>
  <si>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</si>
  <si>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</si>
  <si>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</si>
  <si>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</si>
  <si>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</si>
  <si>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</si>
  <si>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</si>
  <si>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</si>
  <si>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</si>
  <si>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</si>
  <si>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</si>
  <si>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</si>
  <si>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</si>
  <si>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</si>
  <si>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</si>
  <si>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</si>
  <si>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</si>
  <si>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</si>
  <si>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</si>
  <si>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</si>
  <si>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</si>
  <si>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</si>
  <si>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</si>
  <si>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</si>
  <si>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</si>
  <si>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</si>
  <si>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</si>
  <si>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</si>
  <si>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</si>
  <si>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</si>
  <si>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</si>
  <si>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</si>
  <si>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</si>
  <si>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</si>
  <si>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</si>
  <si>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</si>
  <si>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</si>
  <si>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</si>
  <si>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</si>
  <si>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</si>
  <si>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</si>
  <si>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</si>
  <si>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</si>
  <si>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</si>
  <si>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</si>
  <si>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</si>
  <si>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</si>
  <si>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</si>
  <si>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</si>
  <si>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</si>
  <si>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</si>
  <si>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</si>
  <si>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</si>
  <si>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</si>
  <si>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</si>
  <si>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</si>
  <si>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</si>
  <si>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</si>
  <si>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</si>
  <si>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</si>
  <si>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</si>
  <si>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</si>
  <si>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</si>
  <si>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</si>
  <si>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</si>
  <si>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</si>
  <si>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</si>
  <si>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</si>
  <si>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</si>
  <si>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</si>
  <si>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</si>
  <si>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</si>
  <si>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</si>
  <si>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</si>
  <si>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</si>
  <si>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</si>
  <si>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</si>
  <si>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</si>
  <si>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</si>
  <si>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</si>
  <si>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</si>
  <si>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</si>
  <si>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</si>
  <si>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</si>
  <si>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</si>
  <si>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</si>
  <si>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</si>
  <si>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</si>
  <si>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</si>
  <si>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</si>
  <si>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</si>
  <si>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</si>
  <si>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</si>
  <si>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</si>
  <si>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</si>
  <si>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</si>
  <si>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</si>
  <si>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</si>
  <si>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</si>
  <si>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</si>
  <si>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</si>
  <si>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</si>
  <si>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</si>
  <si>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</si>
  <si>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</si>
  <si>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</si>
  <si>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</si>
  <si>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</si>
  <si>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</si>
  <si>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</si>
  <si>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</si>
  <si>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</si>
  <si>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</si>
  <si>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</si>
  <si>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</si>
  <si>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</si>
  <si>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</si>
  <si>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</si>
  <si>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</si>
  <si>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</si>
  <si>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</si>
  <si>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</si>
  <si>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</si>
  <si>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</si>
  <si>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</si>
  <si>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</si>
  <si>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</si>
  <si>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</si>
  <si>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</si>
  <si>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</si>
  <si>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</si>
  <si>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</si>
  <si>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</si>
  <si>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</si>
  <si>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</si>
  <si>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</si>
  <si>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</si>
  <si>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</si>
  <si>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</si>
  <si>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</si>
  <si>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</si>
  <si>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</si>
  <si>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</si>
  <si>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</si>
  <si>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</si>
  <si>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</si>
  <si>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</si>
  <si>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</si>
  <si>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</si>
  <si>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</si>
  <si>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</si>
  <si>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</si>
  <si>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</si>
  <si>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</si>
  <si>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</si>
  <si>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</si>
  <si>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</si>
  <si>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</si>
  <si>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</si>
  <si>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</si>
  <si>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</si>
  <si>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</si>
  <si>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</si>
  <si>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</si>
  <si>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</si>
  <si>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</si>
  <si>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</si>
  <si>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</si>
  <si>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</si>
  <si>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</si>
  <si>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</si>
  <si>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</si>
  <si>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</si>
  <si>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</si>
  <si>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</si>
  <si>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</si>
  <si>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</si>
  <si>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</si>
  <si>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</si>
  <si>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</si>
  <si>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</si>
  <si>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</si>
  <si>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</si>
  <si>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</si>
  <si>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</si>
  <si>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</si>
  <si>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</si>
  <si>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</si>
  <si>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</si>
  <si>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</si>
  <si>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</si>
  <si>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</si>
  <si>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</si>
  <si>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</si>
  <si>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</si>
  <si>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</si>
  <si>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</si>
  <si>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</si>
  <si>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</si>
  <si>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</si>
  <si>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</si>
  <si>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</si>
  <si>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</si>
  <si>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</si>
  <si>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</si>
  <si>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</si>
  <si>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</si>
  <si>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</si>
  <si>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</si>
  <si>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</si>
  <si>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</si>
  <si>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</si>
  <si>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</si>
  <si>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</si>
  <si>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</si>
  <si>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</si>
  <si>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</si>
  <si>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</si>
  <si>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</si>
  <si>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</si>
  <si>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</si>
  <si>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</si>
  <si>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</si>
  <si>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</si>
  <si>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</si>
  <si>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</si>
  <si>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</si>
  <si>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</si>
  <si>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</si>
  <si>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</si>
  <si>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</si>
  <si>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</si>
  <si>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</si>
  <si>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</si>
  <si>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</si>
  <si>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</si>
  <si>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</si>
  <si>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</si>
  <si>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</si>
  <si>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</si>
  <si>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</si>
  <si>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</si>
  <si>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</si>
  <si>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</si>
  <si>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</si>
  <si>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</si>
  <si>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</si>
  <si>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</si>
  <si>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</si>
  <si>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</si>
  <si>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</si>
  <si>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</si>
  <si>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</si>
  <si>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</si>
  <si>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</si>
  <si>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</si>
  <si>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</si>
  <si>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</si>
  <si>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</si>
  <si>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</si>
  <si>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</si>
  <si>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</si>
  <si>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</si>
  <si>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</si>
  <si>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</si>
  <si>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</si>
  <si>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</si>
  <si>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</si>
  <si>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</si>
  <si>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</si>
  <si>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</si>
  <si>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</si>
  <si>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</si>
  <si>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</si>
  <si>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</si>
  <si>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</si>
  <si>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</si>
  <si>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</si>
  <si>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</si>
  <si>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</si>
  <si>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</si>
  <si>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</si>
  <si>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</si>
  <si>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</si>
  <si>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</si>
  <si>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</si>
  <si>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</si>
  <si>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</si>
  <si>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</si>
  <si>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</si>
  <si>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</si>
  <si>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</si>
  <si>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</si>
  <si>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</si>
  <si>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</si>
  <si>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</si>
  <si>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</si>
  <si>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</si>
  <si>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</si>
  <si>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</si>
  <si>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</si>
  <si>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</si>
  <si>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</si>
  <si>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</si>
  <si>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</si>
  <si>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</si>
  <si>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</si>
  <si>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</si>
  <si>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</si>
  <si>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</si>
  <si>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</si>
  <si>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</si>
  <si>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</si>
  <si>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</si>
  <si>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</si>
  <si>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</si>
  <si>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</si>
  <si>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</si>
  <si>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</si>
  <si>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</si>
  <si>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</si>
  <si>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</si>
  <si>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</si>
  <si>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</si>
  <si>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</si>
  <si>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</si>
  <si>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</si>
  <si>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</si>
  <si>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</si>
  <si>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</si>
  <si>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</si>
  <si>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</si>
  <si>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</si>
  <si>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</si>
  <si>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</si>
  <si>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</si>
  <si>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</si>
  <si>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</si>
  <si>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</si>
  <si>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</si>
  <si>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</si>
  <si>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</si>
  <si>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</si>
  <si>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</si>
  <si>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</si>
  <si>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</si>
  <si>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</si>
  <si>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</si>
  <si>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</si>
  <si>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</si>
  <si>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</si>
  <si>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</si>
  <si>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</si>
  <si>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</si>
  <si>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</si>
  <si>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</si>
  <si>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</si>
  <si>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</si>
  <si>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</si>
  <si>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</si>
  <si>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</si>
  <si>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</si>
  <si>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</si>
  <si>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</si>
  <si>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</si>
  <si>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</si>
  <si>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</si>
  <si>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</si>
  <si>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</si>
  <si>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</si>
  <si>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</si>
  <si>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</si>
  <si>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</si>
  <si>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</si>
  <si>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</si>
  <si>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</si>
  <si>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</si>
  <si>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</si>
  <si>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</si>
  <si>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</si>
  <si>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</si>
  <si>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</si>
  <si>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</si>
  <si>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</si>
  <si>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</si>
  <si>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</si>
  <si>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</si>
  <si>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</si>
  <si>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</si>
  <si>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</si>
  <si>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</si>
  <si>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</si>
  <si>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</si>
  <si>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</si>
  <si>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</si>
  <si>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</si>
  <si>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</si>
  <si>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</si>
  <si>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</si>
  <si>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</si>
  <si>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</si>
  <si>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</si>
  <si>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</si>
  <si>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</si>
  <si>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</si>
  <si>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</si>
  <si>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</si>
  <si>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</si>
  <si>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</si>
  <si>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</si>
  <si>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</si>
  <si>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</si>
  <si>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</si>
  <si>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</si>
  <si>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</si>
  <si>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</si>
  <si>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</si>
  <si>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</si>
  <si>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</si>
  <si>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</si>
  <si>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</si>
  <si>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</si>
  <si>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</si>
  <si>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</si>
  <si>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</si>
  <si>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</si>
  <si>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</si>
  <si>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</si>
  <si>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</si>
  <si>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</si>
  <si>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</si>
  <si>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</si>
  <si>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</si>
  <si>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</si>
  <si>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</si>
  <si>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</si>
  <si>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</si>
  <si>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</si>
  <si>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</si>
  <si>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</si>
  <si>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</si>
  <si>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</si>
  <si>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</si>
  <si>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</si>
  <si>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</si>
  <si>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</si>
  <si>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</si>
  <si>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</si>
  <si>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</si>
  <si>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</si>
  <si>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</si>
  <si>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</si>
  <si>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</si>
  <si>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</si>
  <si>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</si>
  <si>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</si>
  <si>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</si>
  <si>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</si>
  <si>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</si>
  <si>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</si>
  <si>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</si>
  <si>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</si>
  <si>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</si>
  <si>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</si>
  <si>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</si>
  <si>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</si>
  <si>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</si>
  <si>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</si>
  <si>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</si>
  <si>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</si>
  <si>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</si>
  <si>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</si>
  <si>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</si>
  <si>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</si>
  <si>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</si>
  <si>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</si>
  <si>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</si>
  <si>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</si>
  <si>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</si>
  <si>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</si>
  <si>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</si>
  <si>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</si>
  <si>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</si>
  <si>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</si>
  <si>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</si>
  <si>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</si>
  <si>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</si>
  <si>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</si>
  <si>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</si>
  <si>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</si>
  <si>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</si>
  <si>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</si>
  <si>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</si>
  <si>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</si>
  <si>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</si>
  <si>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</si>
  <si>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</si>
  <si>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</si>
  <si>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</si>
  <si>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</si>
  <si>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</si>
  <si>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</si>
  <si>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</si>
  <si>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</si>
  <si>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</si>
  <si>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</si>
  <si>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</si>
  <si>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</si>
  <si>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</si>
  <si>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</si>
  <si>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</si>
  <si>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</si>
  <si>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</si>
  <si>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</si>
  <si>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</si>
  <si>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</si>
  <si>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</si>
  <si>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</si>
  <si>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</si>
  <si>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</si>
  <si>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</si>
  <si>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</si>
  <si>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</si>
  <si>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</si>
  <si>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</si>
  <si>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</si>
  <si>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</si>
  <si>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</si>
  <si>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</si>
  <si>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</si>
  <si>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</si>
  <si>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</si>
  <si>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</si>
  <si>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</si>
  <si>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</si>
  <si>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</si>
  <si>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</si>
  <si>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</si>
  <si>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</si>
  <si>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</si>
  <si>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</si>
  <si>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</si>
  <si>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</si>
  <si>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</si>
  <si>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</si>
  <si>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</si>
  <si>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</si>
  <si>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</si>
  <si>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</si>
  <si>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</si>
  <si>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</si>
  <si>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</si>
  <si>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</si>
  <si>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</si>
  <si>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</si>
  <si>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</si>
  <si>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</si>
  <si>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</si>
  <si>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</si>
  <si>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</si>
  <si>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</si>
  <si>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</si>
  <si>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</si>
  <si>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</si>
  <si>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</si>
  <si>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</si>
  <si>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</si>
  <si>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</si>
  <si>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</si>
  <si>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</si>
  <si>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</si>
  <si>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</si>
  <si>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</si>
  <si>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</si>
  <si>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</si>
  <si>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</si>
  <si>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</si>
  <si>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</si>
  <si>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</si>
  <si>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</si>
  <si>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</si>
  <si>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</si>
  <si>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</si>
  <si>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</si>
  <si>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</si>
  <si>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</si>
  <si>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</si>
  <si>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</si>
  <si>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</si>
  <si>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</si>
  <si>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</si>
  <si>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</si>
  <si>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</si>
  <si>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</si>
  <si>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</si>
  <si>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</si>
  <si>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</si>
  <si>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</si>
  <si>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</si>
  <si>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</si>
  <si>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</si>
  <si>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</si>
  <si>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</si>
  <si>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</si>
  <si>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</si>
  <si>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</si>
  <si>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</si>
  <si>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</si>
  <si>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</si>
  <si>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</si>
  <si>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</si>
  <si>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</si>
  <si>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</si>
  <si>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</si>
  <si>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</si>
  <si>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</si>
  <si>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</si>
  <si>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</si>
  <si>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</si>
  <si>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</si>
  <si>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</si>
  <si>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</si>
  <si>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</si>
  <si>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</si>
  <si>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</si>
  <si>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</si>
  <si>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</si>
  <si>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</si>
  <si>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</si>
  <si>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</si>
  <si>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</si>
  <si>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</si>
  <si>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</si>
  <si>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</si>
  <si>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</si>
  <si>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</si>
  <si>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</si>
  <si>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</si>
  <si>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</si>
  <si>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</si>
  <si>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</si>
  <si>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</si>
  <si>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</si>
  <si>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</si>
  <si>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</si>
  <si>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</si>
  <si>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</si>
  <si>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</si>
  <si>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</si>
  <si>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</si>
  <si>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</si>
  <si>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</si>
  <si>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</si>
  <si>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</si>
  <si>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</si>
  <si>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</si>
  <si>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</si>
  <si>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</si>
  <si>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</si>
  <si>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</si>
  <si>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</si>
  <si>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</si>
  <si>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</si>
  <si>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</si>
  <si>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</si>
  <si>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</si>
  <si>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</si>
  <si>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</si>
  <si>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</si>
  <si>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</si>
  <si>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</si>
  <si>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</si>
  <si>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</si>
  <si>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</si>
  <si>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</si>
  <si>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</si>
  <si>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</si>
  <si>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</si>
  <si>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</si>
  <si>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</si>
  <si>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</si>
  <si>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</si>
  <si>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</si>
  <si>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</si>
  <si>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</si>
  <si>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</si>
  <si>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</si>
  <si>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</si>
  <si>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</si>
  <si>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</si>
  <si>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</si>
  <si>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</si>
  <si>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</si>
  <si>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</si>
  <si>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</si>
  <si>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</si>
  <si>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</si>
  <si>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</si>
  <si>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</si>
  <si>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</si>
  <si>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</si>
  <si>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</si>
  <si>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</si>
  <si>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</si>
  <si>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</si>
  <si>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</si>
  <si>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</si>
  <si>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</si>
  <si>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</si>
  <si>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</si>
  <si>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</si>
  <si>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</si>
  <si>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</si>
  <si>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</si>
  <si>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</si>
  <si>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</si>
  <si>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</si>
  <si>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</si>
  <si>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</si>
  <si>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</si>
  <si>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</si>
  <si>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</si>
  <si>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</si>
  <si>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</si>
  <si>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</si>
  <si>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</si>
  <si>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</si>
  <si>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</si>
  <si>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</si>
  <si>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</si>
  <si>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</si>
  <si>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</si>
  <si>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</si>
  <si>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</si>
  <si>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</si>
  <si>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</si>
  <si>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</si>
  <si>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</si>
  <si>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</si>
  <si>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</si>
  <si>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</si>
  <si>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</si>
  <si>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</si>
  <si>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</si>
  <si>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</si>
  <si>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</si>
  <si>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</si>
  <si>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</si>
  <si>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</si>
  <si>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</si>
  <si>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</si>
  <si>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</si>
  <si>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</si>
  <si>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</si>
  <si>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</si>
  <si>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</si>
  <si>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</si>
  <si>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</si>
  <si>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</si>
  <si>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</si>
  <si>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</si>
  <si>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</si>
  <si>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</si>
  <si>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</si>
  <si>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</si>
  <si>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</si>
  <si>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</si>
  <si>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</si>
  <si>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</si>
  <si>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</si>
  <si>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</si>
  <si>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</si>
  <si>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</si>
  <si>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</si>
  <si>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</si>
  <si>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</si>
  <si>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</si>
  <si>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</si>
  <si>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</si>
  <si>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</si>
  <si>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</si>
  <si>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</si>
  <si>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</si>
  <si>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</si>
  <si>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</si>
  <si>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</si>
  <si>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</si>
  <si>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</si>
  <si>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</si>
  <si>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</si>
  <si>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</si>
  <si>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</si>
  <si>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</si>
  <si>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</si>
  <si>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</si>
  <si>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</si>
  <si>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</si>
  <si>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</si>
  <si>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</si>
  <si>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</si>
  <si>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</si>
  <si>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</si>
  <si>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</si>
  <si>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</si>
  <si>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</si>
  <si>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</si>
  <si>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</si>
  <si>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</si>
  <si>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</si>
  <si>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</si>
  <si>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</si>
  <si>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</si>
  <si>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</si>
  <si>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</si>
  <si>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</si>
  <si>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</si>
  <si>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</si>
  <si>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</si>
  <si>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</si>
  <si>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</si>
  <si>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</si>
  <si>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</si>
  <si>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</si>
  <si>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</si>
  <si>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</si>
  <si>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</si>
  <si>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</si>
  <si>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</si>
  <si>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</si>
  <si>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</si>
  <si>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</si>
  <si>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</si>
  <si>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</si>
  <si>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</si>
  <si>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</si>
  <si>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</si>
  <si>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</si>
  <si>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</si>
  <si>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</si>
  <si>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</si>
  <si>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</si>
  <si>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</si>
  <si>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</si>
  <si>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</si>
  <si>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</si>
  <si>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</si>
  <si>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</si>
  <si>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</si>
  <si>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</si>
  <si>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</si>
  <si>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</si>
  <si>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</si>
  <si>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</si>
  <si>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</si>
  <si>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</si>
  <si>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</si>
  <si>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</si>
  <si>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</si>
  <si>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</si>
  <si>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</si>
  <si>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</si>
  <si>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</si>
  <si>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</si>
  <si>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</si>
  <si>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</si>
  <si>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</si>
  <si>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</si>
  <si>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</si>
  <si>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</si>
  <si>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</si>
  <si>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</si>
  <si>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</si>
  <si>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</si>
  <si>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</si>
  <si>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</si>
  <si>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</si>
  <si>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</si>
  <si>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</si>
  <si>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</si>
  <si>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</si>
  <si>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</si>
  <si>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</si>
  <si>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</si>
  <si>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</si>
  <si>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</si>
  <si>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</si>
  <si>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</si>
  <si>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</si>
  <si>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</si>
  <si>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</si>
  <si>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</si>
  <si>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</si>
  <si>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</si>
  <si>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</si>
  <si>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</si>
  <si>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</si>
  <si>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</si>
  <si>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</si>
  <si>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</si>
  <si>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</si>
  <si>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</si>
  <si>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</si>
  <si>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</si>
  <si>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</si>
  <si>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</si>
  <si>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</si>
  <si>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</si>
  <si>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</si>
  <si>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</si>
  <si>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</si>
  <si>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</si>
  <si>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</si>
  <si>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</si>
  <si>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</si>
  <si>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</si>
  <si>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</si>
  <si>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</si>
  <si>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</si>
  <si>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</si>
  <si>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</si>
  <si>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</si>
  <si>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</si>
  <si>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</si>
  <si>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</si>
  <si>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</si>
  <si>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</si>
  <si>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</si>
  <si>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</si>
  <si>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</si>
  <si>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</si>
  <si>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</si>
  <si>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</si>
  <si>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</si>
  <si>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</si>
  <si>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</si>
  <si>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</si>
  <si>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</si>
  <si>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</si>
  <si>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</si>
  <si>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</si>
  <si>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</si>
  <si>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</si>
  <si>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</si>
  <si>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</si>
  <si>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</si>
  <si>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</si>
  <si>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</si>
  <si>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</si>
  <si>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</si>
  <si>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</si>
  <si>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</si>
  <si>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</si>
  <si>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</si>
  <si>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</si>
  <si>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</si>
  <si>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</si>
  <si>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</si>
  <si>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</si>
  <si>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</si>
  <si>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</si>
  <si>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</si>
  <si>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</si>
  <si>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</si>
  <si>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</si>
  <si>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</si>
  <si>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</si>
  <si>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</si>
  <si>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</si>
  <si>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</si>
  <si>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</si>
  <si>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</si>
  <si>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</si>
  <si>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</si>
  <si>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</si>
  <si>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</si>
  <si>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</si>
  <si>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</si>
  <si>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</si>
  <si>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</si>
  <si>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</si>
  <si>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</si>
  <si>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</si>
  <si>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</si>
  <si>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</si>
  <si>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</si>
  <si>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</si>
  <si>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</si>
  <si>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</si>
  <si>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</si>
  <si>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</si>
  <si>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</si>
  <si>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</si>
  <si>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</si>
  <si>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</si>
  <si>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</si>
  <si>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</si>
  <si>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</si>
  <si>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</si>
  <si>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</si>
  <si>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</si>
  <si>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</si>
  <si>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</si>
  <si>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</si>
  <si>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</si>
  <si>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</si>
  <si>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</si>
  <si>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</si>
  <si>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</si>
  <si>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</si>
  <si>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</si>
  <si>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</si>
  <si>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</si>
  <si>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</si>
  <si>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</si>
  <si>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</si>
  <si>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</si>
  <si>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</si>
  <si>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</si>
  <si>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</si>
  <si>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</si>
  <si>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</si>
  <si>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</si>
  <si>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</si>
  <si>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</si>
  <si>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</si>
  <si>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</si>
  <si>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</si>
  <si>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</si>
  <si>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</si>
  <si>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</si>
  <si>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</si>
  <si>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</si>
  <si>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</si>
  <si>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</si>
  <si>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</si>
  <si>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</si>
  <si>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</si>
  <si>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</si>
  <si>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</si>
  <si>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</si>
  <si>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</si>
  <si>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</si>
  <si>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</si>
  <si>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</si>
  <si>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</si>
  <si>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</si>
  <si>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</si>
  <si>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</si>
  <si>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</si>
  <si>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</si>
  <si>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</si>
  <si>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</si>
  <si>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</si>
  <si>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</si>
  <si>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</si>
  <si>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</si>
  <si>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</si>
  <si>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</si>
  <si>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</si>
  <si>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</si>
  <si>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</si>
  <si>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</si>
  <si>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</si>
  <si>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</si>
  <si>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</si>
  <si>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</si>
  <si>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</si>
  <si>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</si>
  <si>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</si>
  <si>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</si>
  <si>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</si>
  <si>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</si>
  <si>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</si>
  <si>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</si>
  <si>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</si>
  <si>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</si>
  <si>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</si>
  <si>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</si>
  <si>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</si>
  <si>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</si>
  <si>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</si>
  <si>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</si>
  <si>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</si>
  <si>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</si>
  <si>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</si>
  <si>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</si>
  <si>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</si>
  <si>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</si>
  <si>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</si>
  <si>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</si>
  <si>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</si>
  <si>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</si>
  <si>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</si>
  <si>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</si>
  <si>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</si>
  <si>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</si>
  <si>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</si>
  <si>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</si>
  <si>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</si>
  <si>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</si>
  <si>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</si>
  <si>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</si>
  <si>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</si>
  <si>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</si>
  <si>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</si>
  <si>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</si>
  <si>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</si>
  <si>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</si>
  <si>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</si>
  <si>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</si>
  <si>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</si>
  <si>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</si>
  <si>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</si>
  <si>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</si>
  <si>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</si>
  <si>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</si>
  <si>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</si>
  <si>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</si>
  <si>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</si>
  <si>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</si>
  <si>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</si>
  <si>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</si>
  <si>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</si>
  <si>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</si>
  <si>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</si>
  <si>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</si>
  <si>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</si>
  <si>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</si>
  <si>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</si>
  <si>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</si>
  <si>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</si>
  <si>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</si>
  <si>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</si>
  <si>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</si>
  <si>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</si>
  <si>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</si>
  <si>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</si>
  <si>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</si>
  <si>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</si>
  <si>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</si>
  <si>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</si>
  <si>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</si>
  <si>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</si>
  <si>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</si>
  <si>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</si>
  <si>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</si>
  <si>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</si>
  <si>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</si>
  <si>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</si>
  <si>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</si>
  <si>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</si>
  <si>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</si>
  <si>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</si>
  <si>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</si>
  <si>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</si>
  <si>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</si>
  <si>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</si>
  <si>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</si>
  <si>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</si>
  <si>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</si>
  <si>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</si>
  <si>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</si>
  <si>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</si>
  <si>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</si>
  <si>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</si>
  <si>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</si>
  <si>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</si>
  <si>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</si>
  <si>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</si>
  <si>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</si>
  <si>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</si>
  <si>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</si>
  <si>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</si>
  <si>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</si>
  <si>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</si>
  <si>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</si>
  <si>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</si>
  <si>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</si>
  <si>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</si>
  <si>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</si>
  <si>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</si>
  <si>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</si>
  <si>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</si>
  <si>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</si>
  <si>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</si>
  <si>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</si>
  <si>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</si>
  <si>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</si>
  <si>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</si>
  <si>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</si>
  <si>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</si>
  <si>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</si>
  <si>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</si>
  <si>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</si>
  <si>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</si>
  <si>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</si>
  <si>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</si>
  <si>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</si>
  <si>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</si>
  <si>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</si>
  <si>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</si>
  <si>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</si>
  <si>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</si>
  <si>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</si>
  <si>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</si>
  <si>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</si>
  <si>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</si>
  <si>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</si>
  <si>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</si>
  <si>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</si>
  <si>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</si>
  <si>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</si>
  <si>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</si>
  <si>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</si>
  <si>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</si>
  <si>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</si>
  <si>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</si>
  <si>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</si>
  <si>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</si>
  <si>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</si>
  <si>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</si>
  <si>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</si>
  <si>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</si>
  <si>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</si>
  <si>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</si>
  <si>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</si>
  <si>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</si>
  <si>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</si>
  <si>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</si>
  <si>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</si>
  <si>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</si>
  <si>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</si>
  <si>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</si>
  <si>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</si>
  <si>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</si>
  <si>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</si>
  <si>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</si>
  <si>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</si>
  <si>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</si>
  <si>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</si>
  <si>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</si>
  <si>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</si>
  <si>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</si>
  <si>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</si>
  <si>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</si>
  <si>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</si>
  <si>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</si>
  <si>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</si>
  <si>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</si>
  <si>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</si>
  <si>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</si>
  <si>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</si>
  <si>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</si>
  <si>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</si>
  <si>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</si>
  <si>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</si>
  <si>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</si>
  <si>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</si>
  <si>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</si>
  <si>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</si>
  <si>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</si>
  <si>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</si>
  <si>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</si>
  <si>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</si>
  <si>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</si>
  <si>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</si>
  <si>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</si>
  <si>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</si>
  <si>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</si>
  <si>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</si>
  <si>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</si>
  <si>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</si>
  <si>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</si>
  <si>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</si>
  <si>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</si>
  <si>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</si>
  <si>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</si>
  <si>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</si>
  <si>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</si>
  <si>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</si>
  <si>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</si>
  <si>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</si>
  <si>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</si>
  <si>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</si>
  <si>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</si>
  <si>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</si>
  <si>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</si>
  <si>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</si>
  <si>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</si>
  <si>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</si>
  <si>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</si>
  <si>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</si>
  <si>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</si>
  <si>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</si>
  <si>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</si>
  <si>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</si>
  <si>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</si>
  <si>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</si>
  <si>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</si>
  <si>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</si>
  <si>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</si>
  <si>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</si>
  <si>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</si>
  <si>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</si>
  <si>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</si>
  <si>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</si>
  <si>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</si>
  <si>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</si>
  <si>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</si>
  <si>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</si>
  <si>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</si>
  <si>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</si>
  <si>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</si>
  <si>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</si>
  <si>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</si>
  <si>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</si>
  <si>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</si>
  <si>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</si>
  <si>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</si>
  <si>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</si>
  <si>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</si>
  <si>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</si>
  <si>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</si>
  <si>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</si>
  <si>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</si>
  <si>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</si>
  <si>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</si>
  <si>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</si>
  <si>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</si>
  <si>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</si>
  <si>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</si>
  <si>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</si>
  <si>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</si>
  <si>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</si>
  <si>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</si>
  <si>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</si>
  <si>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</si>
  <si>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</si>
  <si>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</si>
  <si>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</si>
  <si>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</si>
  <si>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</si>
  <si>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</si>
  <si>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</si>
  <si>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</si>
  <si>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</si>
  <si>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</si>
  <si>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</si>
  <si>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</si>
  <si>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</si>
  <si>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</si>
  <si>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</si>
  <si>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</si>
  <si>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</si>
  <si>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</si>
  <si>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</si>
  <si>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</si>
  <si>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</si>
  <si>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</si>
  <si>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</si>
  <si>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</si>
  <si>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</si>
  <si>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</si>
  <si>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</si>
  <si>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</si>
  <si>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</si>
  <si>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</si>
  <si>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</si>
  <si>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</si>
  <si>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</si>
  <si>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</si>
  <si>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</si>
  <si>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</si>
  <si>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</si>
  <si>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</si>
  <si>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</si>
  <si>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</si>
  <si>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</si>
  <si>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</si>
  <si>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</si>
  <si>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</si>
  <si>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</si>
  <si>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</si>
  <si>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</si>
  <si>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</si>
  <si>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</si>
  <si>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</si>
  <si>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</si>
  <si>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</si>
  <si>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</si>
  <si>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</si>
  <si>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</si>
  <si>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</si>
  <si>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</si>
  <si>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</si>
  <si>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</si>
  <si>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</si>
  <si>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</si>
  <si>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</si>
  <si>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</si>
  <si>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</si>
  <si>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</si>
  <si>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</si>
  <si>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</si>
  <si>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</si>
  <si>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</si>
  <si>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</si>
  <si>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</si>
  <si>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</si>
  <si>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</si>
  <si>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</si>
  <si>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</si>
  <si>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</si>
  <si>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</si>
  <si>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</si>
  <si>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</si>
  <si>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</si>
  <si>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</si>
  <si>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</si>
  <si>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</si>
  <si>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</si>
  <si>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</si>
  <si>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</si>
  <si>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</si>
  <si>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</si>
  <si>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</si>
  <si>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</si>
  <si>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</si>
  <si>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</si>
  <si>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</si>
  <si>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</si>
  <si>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</si>
  <si>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</si>
  <si>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</si>
  <si>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</si>
  <si>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</si>
  <si>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</si>
  <si>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</si>
  <si>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</si>
  <si>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</si>
  <si>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</si>
  <si>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</si>
  <si>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</si>
  <si>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</si>
  <si>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</si>
  <si>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</si>
  <si>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</si>
  <si>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</si>
  <si>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</si>
  <si>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</si>
  <si>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</si>
  <si>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</si>
  <si>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</si>
  <si>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</si>
  <si>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</si>
  <si>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</si>
  <si>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</si>
  <si>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</si>
  <si>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</si>
  <si>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</si>
  <si>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</si>
  <si>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</si>
  <si>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</si>
  <si>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</si>
  <si>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</si>
  <si>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</si>
  <si>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</si>
  <si>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</si>
  <si>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</si>
  <si>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</si>
  <si>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</si>
  <si>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</si>
  <si>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</si>
  <si>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</si>
  <si>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</si>
  <si>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</si>
  <si>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</si>
  <si>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</si>
  <si>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</si>
  <si>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</si>
  <si>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</si>
  <si>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</si>
  <si>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</si>
  <si>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</si>
  <si>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</si>
  <si>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</si>
  <si>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</si>
  <si>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</si>
  <si>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</si>
  <si>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</si>
  <si>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</si>
  <si>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</si>
  <si>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</si>
  <si>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</si>
  <si>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</si>
  <si>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</si>
  <si>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</si>
  <si>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</si>
  <si>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</si>
  <si>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</si>
  <si>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</si>
  <si>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</si>
  <si>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</si>
  <si>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</si>
  <si>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</si>
  <si>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</si>
  <si>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</si>
  <si>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</si>
  <si>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</si>
  <si>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</si>
  <si>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</si>
  <si>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</si>
  <si>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</si>
  <si>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</si>
  <si>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</si>
  <si>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</si>
  <si>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</si>
  <si>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</si>
  <si>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</si>
  <si>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</si>
  <si>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</si>
  <si>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</si>
  <si>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</si>
  <si>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</si>
  <si>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</si>
  <si>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</si>
  <si>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</si>
  <si>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</si>
  <si>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</si>
  <si>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</si>
  <si>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</si>
  <si>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</si>
  <si>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</si>
  <si>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</si>
  <si>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</si>
  <si>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</si>
  <si>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</si>
  <si>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</si>
  <si>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</si>
  <si>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</si>
  <si>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</si>
  <si>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</si>
  <si>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</si>
  <si>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</si>
  <si>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</si>
  <si>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</si>
  <si>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</si>
  <si>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</si>
  <si>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</si>
  <si>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</si>
  <si>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</si>
  <si>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</si>
  <si>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</si>
  <si>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</si>
  <si>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</si>
  <si>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</si>
  <si>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</si>
  <si>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</si>
  <si>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</si>
  <si>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</si>
  <si>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</si>
  <si>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</si>
  <si>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</si>
  <si>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</si>
  <si>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</si>
  <si>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</si>
  <si>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</si>
  <si>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</si>
  <si>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</si>
  <si>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</si>
  <si>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</si>
  <si>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</si>
  <si>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</si>
  <si>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</si>
  <si>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</si>
  <si>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</si>
  <si>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</si>
  <si>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</si>
  <si>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</si>
  <si>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</si>
  <si>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</si>
  <si>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</si>
  <si>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</si>
  <si>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</si>
  <si>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</si>
  <si>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</si>
  <si>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</si>
  <si>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</si>
  <si>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</si>
  <si>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</si>
  <si>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</si>
  <si>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</si>
  <si>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</si>
  <si>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</si>
  <si>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</si>
  <si>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</si>
  <si>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</si>
  <si>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</si>
  <si>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</si>
  <si>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</si>
  <si>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</si>
  <si>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</si>
  <si>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</si>
  <si>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</si>
  <si>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</si>
  <si>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</si>
  <si>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</si>
  <si>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</si>
  <si>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</si>
  <si>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</si>
  <si>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</si>
  <si>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</si>
  <si>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</si>
  <si>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</si>
  <si>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</si>
  <si>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</si>
  <si>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</si>
  <si>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</si>
  <si>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</si>
  <si>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</si>
  <si>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</si>
  <si>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</si>
  <si>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</si>
  <si>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</si>
  <si>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</si>
  <si>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</si>
  <si>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</si>
  <si>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</si>
  <si>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</si>
  <si>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</si>
  <si>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</si>
  <si>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</si>
  <si>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</si>
  <si>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</si>
  <si>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</si>
  <si>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</si>
  <si>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</si>
  <si>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</si>
  <si>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</si>
  <si>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</si>
  <si>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</si>
  <si>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</si>
  <si>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</si>
  <si>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</si>
  <si>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</si>
  <si>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</si>
  <si>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</si>
  <si>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</si>
  <si>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</si>
  <si>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</si>
  <si>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</si>
  <si>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</si>
  <si>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</si>
  <si>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</si>
  <si>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</si>
  <si>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</si>
  <si>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</si>
  <si>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</si>
  <si>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</si>
  <si>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</si>
  <si>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</si>
  <si>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</si>
  <si>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</si>
  <si>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</si>
  <si>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</si>
  <si>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</si>
  <si>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</si>
  <si>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</si>
  <si>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</si>
  <si>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</si>
  <si>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</si>
  <si>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</si>
  <si>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</si>
  <si>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</si>
  <si>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</si>
  <si>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</si>
  <si>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</si>
  <si>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</si>
  <si>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</si>
  <si>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</si>
  <si>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</si>
  <si>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</si>
  <si>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</si>
  <si>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</si>
  <si>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</si>
  <si>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</si>
  <si>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</si>
  <si>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</si>
  <si>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</si>
  <si>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</si>
  <si>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</si>
  <si>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</si>
  <si>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</si>
  <si>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</si>
  <si>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</si>
  <si>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</si>
  <si>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</si>
  <si>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</si>
  <si>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</si>
  <si>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</si>
  <si>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</si>
  <si>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</si>
  <si>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</si>
  <si>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</si>
  <si>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</si>
  <si>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</si>
  <si>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</si>
  <si>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</si>
  <si>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</si>
  <si>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</si>
  <si>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</si>
  <si>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</si>
  <si>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</si>
  <si>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</si>
  <si>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</si>
  <si>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</si>
  <si>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</si>
  <si>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</si>
  <si>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</si>
  <si>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</si>
  <si>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</si>
  <si>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</si>
  <si>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</si>
  <si>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</si>
  <si>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</si>
  <si>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</si>
  <si>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</si>
  <si>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</si>
  <si>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</si>
  <si>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</si>
  <si>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</si>
  <si>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</si>
  <si>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</si>
  <si>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</si>
  <si>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</si>
  <si>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</si>
  <si>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</si>
  <si>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</si>
  <si>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</si>
  <si>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</si>
  <si>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</si>
  <si>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</si>
  <si>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</si>
  <si>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</si>
  <si>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</si>
  <si>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</si>
  <si>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</si>
  <si>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</si>
  <si>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</si>
  <si>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</si>
  <si>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</si>
  <si>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</si>
  <si>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</si>
  <si>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</si>
  <si>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</si>
  <si>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</si>
  <si>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</si>
  <si>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</si>
  <si>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</si>
  <si>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</si>
  <si>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</si>
  <si>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</si>
  <si>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</si>
  <si>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</si>
  <si>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</si>
  <si>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</si>
  <si>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</si>
  <si>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</si>
  <si>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</si>
  <si>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</si>
  <si>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</si>
  <si>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</si>
  <si>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</si>
  <si>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</si>
  <si>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</si>
  <si>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</si>
  <si>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</si>
  <si>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</si>
  <si>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</si>
  <si>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</si>
  <si>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</si>
  <si>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</si>
  <si>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</si>
  <si>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</si>
  <si>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</si>
  <si>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</si>
  <si>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</si>
  <si>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</si>
  <si>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</si>
  <si>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</si>
  <si>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</si>
  <si>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</si>
  <si>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</si>
  <si>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</si>
  <si>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</si>
  <si>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</si>
  <si>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</si>
  <si>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</si>
  <si>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</si>
  <si>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</si>
  <si>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</si>
  <si>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</si>
  <si>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</si>
  <si>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</si>
  <si>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</si>
  <si>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</si>
  <si>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</si>
  <si>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</si>
  <si>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</si>
  <si>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</si>
  <si>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</si>
  <si>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</si>
  <si>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</si>
  <si>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</si>
  <si>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</si>
  <si>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</si>
  <si>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</si>
  <si>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</si>
  <si>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</si>
  <si>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</si>
  <si>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</si>
  <si>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</si>
  <si>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</si>
  <si>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</si>
  <si>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</si>
  <si>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</si>
  <si>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</si>
  <si>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</si>
  <si>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</si>
  <si>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</si>
  <si>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</si>
  <si>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</si>
  <si>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</si>
  <si>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</si>
  <si>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</si>
  <si>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</si>
  <si>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</si>
  <si>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</si>
  <si>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</si>
  <si>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</si>
  <si>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</si>
  <si>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</si>
  <si>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</si>
  <si>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</si>
  <si>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</si>
  <si>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</si>
  <si>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</si>
  <si>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</si>
  <si>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</si>
  <si>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</si>
  <si>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</si>
  <si>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</si>
  <si>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</si>
  <si>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</si>
  <si>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</si>
  <si>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</si>
  <si>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</si>
  <si>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</si>
  <si>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</si>
  <si>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</si>
  <si>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</si>
  <si>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</si>
  <si>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</si>
  <si>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</si>
  <si>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</si>
  <si>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</si>
  <si>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</si>
  <si>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</si>
  <si>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</si>
  <si>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</si>
  <si>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</si>
  <si>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</si>
  <si>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</si>
  <si>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</si>
  <si>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</si>
  <si>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</si>
  <si>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</si>
  <si>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</si>
  <si>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</si>
  <si>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</si>
  <si>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</si>
  <si>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</si>
  <si>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</si>
  <si>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</si>
  <si>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</si>
  <si>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</si>
  <si>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</si>
  <si>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</si>
  <si>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</si>
  <si>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</si>
  <si>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</si>
  <si>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</si>
  <si>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</si>
  <si>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</si>
  <si>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</si>
  <si>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</si>
  <si>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</si>
  <si>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</si>
  <si>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</si>
  <si>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</si>
  <si>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</si>
  <si>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</si>
  <si>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</si>
  <si>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</si>
  <si>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</si>
  <si>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</si>
  <si>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</si>
  <si>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</si>
  <si>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</si>
  <si>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</si>
  <si>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</si>
  <si>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</si>
  <si>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</si>
  <si>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</si>
  <si>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</si>
  <si>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</si>
  <si>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</si>
  <si>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</si>
  <si>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</si>
  <si>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</si>
  <si>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</si>
  <si>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</si>
  <si>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</si>
  <si>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</si>
  <si>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</si>
  <si>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</si>
  <si>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</si>
  <si>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</si>
  <si>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</si>
  <si>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</si>
  <si>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</si>
  <si>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</si>
  <si>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</si>
  <si>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</si>
  <si>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</si>
  <si>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</si>
  <si>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</si>
  <si>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</si>
  <si>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</si>
  <si>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</si>
  <si>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</si>
  <si>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</si>
  <si>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</si>
  <si>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</si>
  <si>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</si>
  <si>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</si>
  <si>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</si>
  <si>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</si>
  <si>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</si>
  <si>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</si>
  <si>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</si>
  <si>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</si>
  <si>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</si>
  <si>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</si>
  <si>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</si>
  <si>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</si>
  <si>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</si>
  <si>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</si>
  <si>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</si>
  <si>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</si>
  <si>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</si>
  <si>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</si>
  <si>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</si>
  <si>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</si>
  <si>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</si>
  <si>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</si>
  <si>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</si>
  <si>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</si>
  <si>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</si>
  <si>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</si>
  <si>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</si>
  <si>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</si>
  <si>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</si>
  <si>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</si>
  <si>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</si>
  <si>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</si>
  <si>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</si>
  <si>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</si>
  <si>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</si>
  <si>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</si>
  <si>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</si>
  <si>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</si>
  <si>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</si>
  <si>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</si>
  <si>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</si>
  <si>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</si>
  <si>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</si>
  <si>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</si>
  <si>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</si>
  <si>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</si>
  <si>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</si>
  <si>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</si>
  <si>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</si>
  <si>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</si>
  <si>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</si>
  <si>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</si>
  <si>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</si>
  <si>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</si>
  <si>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</si>
  <si>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</si>
  <si>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</si>
  <si>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</si>
  <si>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</si>
  <si>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</si>
  <si>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</si>
  <si>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</si>
  <si>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</si>
  <si>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</si>
  <si>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</si>
  <si>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</si>
  <si>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</si>
  <si>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</si>
  <si>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</si>
  <si>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</si>
  <si>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</si>
  <si>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</si>
  <si>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</si>
  <si>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</si>
  <si>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</si>
  <si>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</si>
  <si>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</si>
  <si>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</si>
  <si>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</si>
  <si>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</si>
  <si>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</si>
  <si>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</si>
  <si>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</si>
  <si>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</si>
  <si>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</si>
  <si>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</si>
  <si>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</si>
  <si>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</si>
  <si>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</si>
  <si>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</si>
  <si>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</si>
  <si>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</si>
  <si>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</si>
  <si>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</si>
  <si>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</si>
  <si>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</si>
  <si>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</si>
  <si>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</si>
  <si>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</si>
  <si>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</si>
  <si>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</si>
  <si>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</si>
  <si>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</si>
  <si>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</si>
  <si>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</si>
  <si>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</si>
  <si>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</si>
  <si>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</si>
  <si>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</si>
  <si>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</si>
  <si>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</si>
  <si>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</si>
  <si>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</si>
  <si>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</si>
  <si>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</si>
  <si>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</si>
  <si>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</si>
  <si>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</si>
  <si>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</si>
  <si>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</si>
  <si>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</si>
  <si>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</si>
  <si>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</si>
  <si>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</si>
  <si>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</si>
  <si>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</si>
  <si>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</si>
  <si>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</si>
  <si>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</si>
  <si>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</si>
  <si>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</si>
  <si>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</si>
  <si>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</si>
  <si>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</si>
  <si>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</si>
  <si>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</si>
  <si>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</si>
  <si>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</si>
  <si>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</si>
  <si>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</si>
  <si>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</si>
  <si>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</si>
  <si>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</si>
  <si>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</si>
  <si>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</si>
  <si>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</si>
  <si>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</si>
  <si>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</si>
  <si>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</si>
  <si>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</si>
  <si>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</si>
  <si>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</si>
  <si>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</si>
  <si>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</si>
  <si>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</si>
  <si>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</si>
  <si>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</si>
  <si>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</si>
  <si>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</si>
  <si>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</si>
  <si>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</si>
  <si>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</si>
  <si>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</si>
  <si>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</si>
  <si>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</si>
  <si>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</si>
  <si>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</si>
  <si>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</si>
  <si>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</si>
  <si>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</si>
  <si>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</si>
  <si>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</si>
  <si>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</si>
  <si>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</si>
  <si>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</si>
  <si>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</si>
  <si>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</si>
  <si>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</si>
  <si>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</si>
  <si>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</si>
  <si>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</si>
  <si>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</si>
  <si>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</si>
  <si>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</si>
  <si>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</si>
  <si>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</si>
  <si>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</si>
  <si>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</si>
  <si>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</si>
  <si>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</si>
  <si>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</si>
  <si>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</si>
  <si>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</si>
  <si>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</si>
  <si>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</si>
  <si>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</si>
  <si>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</si>
  <si>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</si>
  <si>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</si>
  <si>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</si>
  <si>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</si>
  <si>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</si>
  <si>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</si>
  <si>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</si>
  <si>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</si>
  <si>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</si>
  <si>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</si>
  <si>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</si>
  <si>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</si>
  <si>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</si>
  <si>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</si>
  <si>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</si>
  <si>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</si>
  <si>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</si>
  <si>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</si>
  <si>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</si>
  <si>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</si>
  <si>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</si>
  <si>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</si>
  <si>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</si>
  <si>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</si>
  <si>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</si>
  <si>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</si>
  <si>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</si>
  <si>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</si>
  <si>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</si>
  <si>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</si>
  <si>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</si>
  <si>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</si>
  <si>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</si>
  <si>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</si>
  <si>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</si>
  <si>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</si>
  <si>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</si>
  <si>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</si>
  <si>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</si>
  <si>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</si>
  <si>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</si>
  <si>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</si>
  <si>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</si>
  <si>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</si>
  <si>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</si>
  <si>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</si>
  <si>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</si>
  <si>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</si>
  <si>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</si>
  <si>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</si>
  <si>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</si>
  <si>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</si>
  <si>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</si>
  <si>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</si>
  <si>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</si>
  <si>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</si>
  <si>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</si>
  <si>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</si>
  <si>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</si>
  <si>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</si>
  <si>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</si>
  <si>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</si>
  <si>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</si>
  <si>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</si>
  <si>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</si>
  <si>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</si>
  <si>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</si>
  <si>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</si>
  <si>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</si>
  <si>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</si>
  <si>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</si>
  <si>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</si>
  <si>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</si>
  <si>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</si>
  <si>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</si>
  <si>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</si>
  <si>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</si>
  <si>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</si>
  <si>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</si>
  <si>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</si>
  <si>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</si>
  <si>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</si>
  <si>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</si>
  <si>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</si>
  <si>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</si>
  <si>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</si>
  <si>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</si>
  <si>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</si>
  <si>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</si>
  <si>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</si>
  <si>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</si>
  <si>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</si>
  <si>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</si>
  <si>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</si>
  <si>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</si>
  <si>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</si>
  <si>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</si>
  <si>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</si>
  <si>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</si>
  <si>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</si>
  <si>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</si>
  <si>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</si>
  <si>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</si>
  <si>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</si>
  <si>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</si>
  <si>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</si>
  <si>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</si>
  <si>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</si>
  <si>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</si>
  <si>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</si>
  <si>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</si>
  <si>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</si>
  <si>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</si>
  <si>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</si>
  <si>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</si>
  <si>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</si>
  <si>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</si>
  <si>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</si>
  <si>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</si>
  <si>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</si>
  <si>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</si>
  <si>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</si>
  <si>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</si>
  <si>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</si>
  <si>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</si>
  <si>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</si>
  <si>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</si>
  <si>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</si>
  <si>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</si>
  <si>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</si>
  <si>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</si>
  <si>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</si>
  <si>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</si>
  <si>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</si>
  <si>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</si>
  <si>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</si>
  <si>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</si>
  <si>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</si>
  <si>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</si>
  <si>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</si>
  <si>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</si>
  <si>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</si>
  <si>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</si>
  <si>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</si>
  <si>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</si>
  <si>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</si>
  <si>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</si>
  <si>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</si>
  <si>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</si>
  <si>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</si>
  <si>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</si>
  <si>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</si>
  <si>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</si>
  <si>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</si>
  <si>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</si>
  <si>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</si>
  <si>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</si>
  <si>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</si>
  <si>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</si>
  <si>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</si>
  <si>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</si>
  <si>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</si>
  <si>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</si>
  <si>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</si>
  <si>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</si>
  <si>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</si>
  <si>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</si>
  <si>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</si>
  <si>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</si>
  <si>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</si>
  <si>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</si>
  <si>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</si>
  <si>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</si>
  <si>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</si>
  <si>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</si>
  <si>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</si>
  <si>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</si>
  <si>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</si>
  <si>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</si>
  <si>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</si>
  <si>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</si>
  <si>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</si>
  <si>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</si>
  <si>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</si>
  <si>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</si>
  <si>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</si>
  <si>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</si>
  <si>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</si>
  <si>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</si>
  <si>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</si>
  <si>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</si>
  <si>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</si>
  <si>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</si>
  <si>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</si>
  <si>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</si>
  <si>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</si>
  <si>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</si>
  <si>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</si>
  <si>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</si>
  <si>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</si>
  <si>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</si>
  <si>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</si>
  <si>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</si>
  <si>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</si>
  <si>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</si>
  <si>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</si>
  <si>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</si>
  <si>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</si>
  <si>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</si>
  <si>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</si>
  <si>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</si>
  <si>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</si>
  <si>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</si>
  <si>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</si>
  <si>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</si>
  <si>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</si>
  <si>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</si>
  <si>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</si>
  <si>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</si>
  <si>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</si>
  <si>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</si>
  <si>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</si>
  <si>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</si>
  <si>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</si>
  <si>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</si>
  <si>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</si>
  <si>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</si>
  <si>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</si>
  <si>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</si>
  <si>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</si>
  <si>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</si>
  <si>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</si>
  <si>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</si>
  <si>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</si>
  <si>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</si>
  <si>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</si>
  <si>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</si>
  <si>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</si>
  <si>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</si>
  <si>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</si>
  <si>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</si>
  <si>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</si>
  <si>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</si>
  <si>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</si>
  <si>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</si>
  <si>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</si>
  <si>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</si>
  <si>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</si>
  <si>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</si>
  <si>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</si>
  <si>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</si>
  <si>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</si>
  <si>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</si>
  <si>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</si>
  <si>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</si>
  <si>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</si>
  <si>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</si>
  <si>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</si>
  <si>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</si>
  <si>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</si>
  <si>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</si>
  <si>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</si>
  <si>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</si>
  <si>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</si>
  <si>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</si>
  <si>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</si>
  <si>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</si>
  <si>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</si>
  <si>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</si>
  <si>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</si>
  <si>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</si>
  <si>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</si>
  <si>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</si>
  <si>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</si>
  <si>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</si>
  <si>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</si>
  <si>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</si>
  <si>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</si>
  <si>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</si>
  <si>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</si>
  <si>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</si>
  <si>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</si>
  <si>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</si>
  <si>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</si>
  <si>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</si>
  <si>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</si>
  <si>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</si>
  <si>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</si>
  <si>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</si>
  <si>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</si>
  <si>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</si>
  <si>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</si>
  <si>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</si>
  <si>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</si>
  <si>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</si>
  <si>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</si>
  <si>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</si>
  <si>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</si>
  <si>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</si>
  <si>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</si>
  <si>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</si>
  <si>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</si>
  <si>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</si>
  <si>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</si>
  <si>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</si>
  <si>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</si>
  <si>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</si>
  <si>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</si>
  <si>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</si>
  <si>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</si>
  <si>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</si>
  <si>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</si>
  <si>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</si>
  <si>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</si>
  <si>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</si>
  <si>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</si>
  <si>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</si>
  <si>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</si>
  <si>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</si>
  <si>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</si>
  <si>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</si>
  <si>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</si>
  <si>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</si>
  <si>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</si>
  <si>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</si>
  <si>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</si>
  <si>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</si>
  <si>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</si>
  <si>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</si>
  <si>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</si>
  <si>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</si>
  <si>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</si>
  <si>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</si>
  <si>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</si>
  <si>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</si>
  <si>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</si>
  <si>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</si>
  <si>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</si>
  <si>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</si>
  <si>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</si>
  <si>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</si>
  <si>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</si>
  <si>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</si>
  <si>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</si>
  <si>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</si>
  <si>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</si>
  <si>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</si>
  <si>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</si>
  <si>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</si>
  <si>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</si>
  <si>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</si>
  <si>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</si>
  <si>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</si>
  <si>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</si>
  <si>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</si>
  <si>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</si>
  <si>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</si>
  <si>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</si>
  <si>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</si>
  <si>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</si>
  <si>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</si>
  <si>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</si>
  <si>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</si>
  <si>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</si>
  <si>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</si>
  <si>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</si>
  <si>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</si>
  <si>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</si>
  <si>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</si>
  <si>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</si>
  <si>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</si>
  <si>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</si>
  <si>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</si>
  <si>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</si>
  <si>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</si>
  <si>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</si>
  <si>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</si>
  <si>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</si>
  <si>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</si>
  <si>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</si>
  <si>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</si>
  <si>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</si>
  <si>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</si>
  <si>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</si>
  <si>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</si>
  <si>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</si>
  <si>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</si>
  <si>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</si>
  <si>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</si>
  <si>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</si>
  <si>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</si>
  <si>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</si>
  <si>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</si>
  <si>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</si>
  <si>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</si>
  <si>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</si>
  <si>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</si>
  <si>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</si>
  <si>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</si>
  <si>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</si>
  <si>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</si>
  <si>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</si>
  <si>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</si>
  <si>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</si>
  <si>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</si>
  <si>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</si>
  <si>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</si>
  <si>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</si>
  <si>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</si>
  <si>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</si>
  <si>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</si>
  <si>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</si>
  <si>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</si>
  <si>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</si>
  <si>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</si>
  <si>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</si>
  <si>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</si>
  <si>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</si>
  <si>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</si>
  <si>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</si>
  <si>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</si>
  <si>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</si>
  <si>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</si>
  <si>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</si>
  <si>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</si>
  <si>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</si>
  <si>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</si>
  <si>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</si>
  <si>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</si>
  <si>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</si>
  <si>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</si>
  <si>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</si>
  <si>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</si>
  <si>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</si>
  <si>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</si>
  <si>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</si>
  <si>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</si>
  <si>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</si>
  <si>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</si>
  <si>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</si>
  <si>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</si>
  <si>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</si>
  <si>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</si>
  <si>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</si>
  <si>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</si>
  <si>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</si>
  <si>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</si>
  <si>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</si>
  <si>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</si>
  <si>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</si>
  <si>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</si>
  <si>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</si>
  <si>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</si>
  <si>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</si>
  <si>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</si>
  <si>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</si>
  <si>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</si>
  <si>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</si>
  <si>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</si>
  <si>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</si>
  <si>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</si>
  <si>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</si>
  <si>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</si>
  <si>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</si>
  <si>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</si>
  <si>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</si>
  <si>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</si>
  <si>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</si>
  <si>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</si>
  <si>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</si>
  <si>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</si>
  <si>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</si>
  <si>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</si>
  <si>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</si>
  <si>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</si>
  <si>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</si>
  <si>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</si>
  <si>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</si>
  <si>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</si>
  <si>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</si>
  <si>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</si>
  <si>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</si>
  <si>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</si>
  <si>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</si>
  <si>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</si>
  <si>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</si>
  <si>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</si>
  <si>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</si>
  <si>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</si>
  <si>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</si>
  <si>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</si>
  <si>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</si>
  <si>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</si>
  <si>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</si>
  <si>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</si>
  <si>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</si>
  <si>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</si>
  <si>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</si>
  <si>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</si>
  <si>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</si>
  <si>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</si>
  <si>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</si>
  <si>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</si>
  <si>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</si>
  <si>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</si>
  <si>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</si>
  <si>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</si>
  <si>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</si>
  <si>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</si>
  <si>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</si>
  <si>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</si>
  <si>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</si>
  <si>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</si>
  <si>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</si>
  <si>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</si>
  <si>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</si>
  <si>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</si>
  <si>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</si>
  <si>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</si>
  <si>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</si>
  <si>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</si>
  <si>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</si>
  <si>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</si>
  <si>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</si>
  <si>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</si>
  <si>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</si>
  <si>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</si>
  <si>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</si>
  <si>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</si>
  <si>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</si>
  <si>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</si>
  <si>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</si>
  <si>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</si>
  <si>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</si>
  <si>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</si>
  <si>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</si>
  <si>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</si>
  <si>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</si>
  <si>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</si>
  <si>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</si>
  <si>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</si>
  <si>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</si>
  <si>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</si>
  <si>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</si>
  <si>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</si>
  <si>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</si>
  <si>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</si>
  <si>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</si>
  <si>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</si>
  <si>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</si>
  <si>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</si>
  <si>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</si>
  <si>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</si>
  <si>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</si>
  <si>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</si>
  <si>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</si>
  <si>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</si>
  <si>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</si>
  <si>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</si>
  <si>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</si>
  <si>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</si>
  <si>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</si>
  <si>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</si>
  <si>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</si>
  <si>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</si>
  <si>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</si>
  <si>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</si>
  <si>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</si>
  <si>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</si>
  <si>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</si>
  <si>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</si>
  <si>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</si>
  <si>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</si>
  <si>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</si>
  <si>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</si>
  <si>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</si>
  <si>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</si>
  <si>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</si>
  <si>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</si>
  <si>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</si>
  <si>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</si>
  <si>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</si>
  <si>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</si>
  <si>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</si>
  <si>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</si>
  <si>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</si>
  <si>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</si>
  <si>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</si>
  <si>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</si>
  <si>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</si>
  <si>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</si>
  <si>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</si>
  <si>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</si>
  <si>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</si>
  <si>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</si>
  <si>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</si>
  <si>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</si>
  <si>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</si>
  <si>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</si>
  <si>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</si>
  <si>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</si>
  <si>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</si>
  <si>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</si>
  <si>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</si>
  <si>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</si>
  <si>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</si>
  <si>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</si>
  <si>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</si>
  <si>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</si>
  <si>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</si>
  <si>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</si>
  <si>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</si>
  <si>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</si>
  <si>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</si>
  <si>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</si>
  <si>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</si>
  <si>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</si>
  <si>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</si>
  <si>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</si>
  <si>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</si>
  <si>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</si>
  <si>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</si>
  <si>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</si>
  <si>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</si>
  <si>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</si>
  <si>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</si>
  <si>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</si>
  <si>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</si>
  <si>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</si>
  <si>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</si>
  <si>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</si>
  <si>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</si>
  <si>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</si>
  <si>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</si>
  <si>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</si>
  <si>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</si>
  <si>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</si>
  <si>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</si>
  <si>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</si>
  <si>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</si>
  <si>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</si>
  <si>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</si>
  <si>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</si>
  <si>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</si>
  <si>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</si>
  <si>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</si>
  <si>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</si>
  <si>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</si>
  <si>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</si>
  <si>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</si>
  <si>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</si>
  <si>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</si>
  <si>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</si>
  <si>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</si>
  <si>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</si>
  <si>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</si>
  <si>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</si>
  <si>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</si>
  <si>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</si>
  <si>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</si>
  <si>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</si>
  <si>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</si>
  <si>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</si>
  <si>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</si>
  <si>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</si>
  <si>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</si>
  <si>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</si>
  <si>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</si>
  <si>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</si>
  <si>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</si>
  <si>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</si>
  <si>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</si>
  <si>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</si>
  <si>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</si>
  <si>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</si>
  <si>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</si>
  <si>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</si>
  <si>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</si>
  <si>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</si>
  <si>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</si>
  <si>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</si>
  <si>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</si>
  <si>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</si>
  <si>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</si>
  <si>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</si>
  <si>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</si>
  <si>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</si>
  <si>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</si>
  <si>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</si>
  <si>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</si>
  <si>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</si>
  <si>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</si>
  <si>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</si>
  <si>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</si>
  <si>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</si>
  <si>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</si>
  <si>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</si>
  <si>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</si>
  <si>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</si>
  <si>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</si>
  <si>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</si>
  <si>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</si>
  <si>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</si>
  <si>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</si>
  <si>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</si>
  <si>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</si>
  <si>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</si>
  <si>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</si>
  <si>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</si>
  <si>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</si>
  <si>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</si>
  <si>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</si>
  <si>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</si>
  <si>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</si>
  <si>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</si>
  <si>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</si>
  <si>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</si>
  <si>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</si>
  <si>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</si>
  <si>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</si>
  <si>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</si>
  <si>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</si>
  <si>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</si>
  <si>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</si>
  <si>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</si>
  <si>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</si>
  <si>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</si>
  <si>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</si>
  <si>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</si>
  <si>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</si>
  <si>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</si>
  <si>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</si>
  <si>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</si>
  <si>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</si>
  <si>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</si>
  <si>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</si>
  <si>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</si>
  <si>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</si>
  <si>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</si>
  <si>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</si>
  <si>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</si>
  <si>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</si>
  <si>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</si>
  <si>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</si>
  <si>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</si>
  <si>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</si>
  <si>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</si>
  <si>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</si>
  <si>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</si>
  <si>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</si>
  <si>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</si>
  <si>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</si>
  <si>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</si>
  <si>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</si>
  <si>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</si>
  <si>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</si>
  <si>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</si>
  <si>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</si>
  <si>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</si>
  <si>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</si>
  <si>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</si>
  <si>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</si>
  <si>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</si>
  <si>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</si>
  <si>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</si>
  <si>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</si>
  <si>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</si>
  <si>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</si>
  <si>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</si>
  <si>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</si>
  <si>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</si>
  <si>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</si>
  <si>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</si>
  <si>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</si>
  <si>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</si>
  <si>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</si>
  <si>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</si>
  <si>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</si>
  <si>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</si>
  <si>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</si>
  <si>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</si>
  <si>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</si>
  <si>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</si>
  <si>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</si>
  <si>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</si>
  <si>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</si>
  <si>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</si>
  <si>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</si>
  <si>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</si>
  <si>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</si>
  <si>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</si>
  <si>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</si>
  <si>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</si>
  <si>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</si>
  <si>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</si>
  <si>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</si>
  <si>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</si>
  <si>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</si>
  <si>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</si>
  <si>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</si>
  <si>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</si>
  <si>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</si>
  <si>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</si>
  <si>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</si>
  <si>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</si>
  <si>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</si>
  <si>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</si>
  <si>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</si>
  <si>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</si>
  <si>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</si>
  <si>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</si>
  <si>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</si>
  <si>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</si>
  <si>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</si>
  <si>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</si>
  <si>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</si>
  <si>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</si>
  <si>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</si>
  <si>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</si>
  <si>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</si>
  <si>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</si>
  <si>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</si>
  <si>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</si>
  <si>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</si>
  <si>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</si>
  <si>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</si>
  <si>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</si>
  <si>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</si>
  <si>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</si>
  <si>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</si>
  <si>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</si>
  <si>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</si>
  <si>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</si>
  <si>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</si>
  <si>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</si>
  <si>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</si>
  <si>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</si>
  <si>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</si>
  <si>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</si>
  <si>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</si>
  <si>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</si>
  <si>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</si>
  <si>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</si>
  <si>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</si>
  <si>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</si>
  <si>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</si>
  <si>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</si>
  <si>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</si>
  <si>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</si>
  <si>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</si>
  <si>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</si>
  <si>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</si>
  <si>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</si>
  <si>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</si>
  <si>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</si>
  <si>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</si>
  <si>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</si>
  <si>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</si>
  <si>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</si>
  <si>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</si>
  <si>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</si>
  <si>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</si>
  <si>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</si>
  <si>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</si>
  <si>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</si>
  <si>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</si>
  <si>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</si>
  <si>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</si>
  <si>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</si>
  <si>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</si>
  <si>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</si>
  <si>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</si>
  <si>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</si>
  <si>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</si>
  <si>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</si>
  <si>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</si>
  <si>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</si>
  <si>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</si>
  <si>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</si>
  <si>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</si>
  <si>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</si>
  <si>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</si>
  <si>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</si>
  <si>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</si>
  <si>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</si>
  <si>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</si>
  <si>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</si>
  <si>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</si>
  <si>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</si>
  <si>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</si>
  <si>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</si>
  <si>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</si>
  <si>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</si>
  <si>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</si>
  <si>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</si>
  <si>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</si>
  <si>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</si>
  <si>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</si>
  <si>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</si>
  <si>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</si>
  <si>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</si>
  <si>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</si>
  <si>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</si>
  <si>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</si>
  <si>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</si>
  <si>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</si>
  <si>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</si>
  <si>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</si>
  <si>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</si>
  <si>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</si>
  <si>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</si>
  <si>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</si>
  <si>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</si>
  <si>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</si>
  <si>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</si>
  <si>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</si>
  <si>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</si>
  <si>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</si>
  <si>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</si>
  <si>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</si>
  <si>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</si>
  <si>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</si>
  <si>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</si>
  <si>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</si>
  <si>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</si>
  <si>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</si>
  <si>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</si>
  <si>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</si>
  <si>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</si>
  <si>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</si>
  <si>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</si>
  <si>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</si>
  <si>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</si>
  <si>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</si>
  <si>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</si>
  <si>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</si>
  <si>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</si>
  <si>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</si>
  <si>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</si>
  <si>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</si>
  <si>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</si>
  <si>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</si>
  <si>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</si>
  <si>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</si>
  <si>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</si>
  <si>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</si>
  <si>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</si>
  <si>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</si>
  <si>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</si>
  <si>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</si>
  <si>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</si>
  <si>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</si>
  <si>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</si>
  <si>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</si>
  <si>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</si>
  <si>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</si>
  <si>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</si>
  <si>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</si>
  <si>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</si>
  <si>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</si>
  <si>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</si>
  <si>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</si>
  <si>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</si>
  <si>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</si>
  <si>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</si>
  <si>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</si>
  <si>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</si>
  <si>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</si>
  <si>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</si>
  <si>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</si>
  <si>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</si>
  <si>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</si>
  <si>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</si>
  <si>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</si>
  <si>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</si>
  <si>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</si>
  <si>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</si>
  <si>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</si>
  <si>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</si>
  <si>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</si>
  <si>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</si>
  <si>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</si>
  <si>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</si>
  <si>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</si>
  <si>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</si>
  <si>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</si>
  <si>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</si>
  <si>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</si>
  <si>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</si>
  <si>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</si>
  <si>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</si>
  <si>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</si>
  <si>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</si>
  <si>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</si>
  <si>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</si>
  <si>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</si>
  <si>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</si>
  <si>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</si>
  <si>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</si>
  <si>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</si>
  <si>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</si>
  <si>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</si>
  <si>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</si>
  <si>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</si>
  <si>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</si>
  <si>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</si>
  <si>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</si>
  <si>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</si>
  <si>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</si>
  <si>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</si>
  <si>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</si>
  <si>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</si>
  <si>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</si>
  <si>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</si>
  <si>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</si>
  <si>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</si>
  <si>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</si>
  <si>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</si>
  <si>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</si>
  <si>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</si>
  <si>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</si>
  <si>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</si>
  <si>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</si>
  <si>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</si>
  <si>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</si>
  <si>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</si>
  <si>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</si>
  <si>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</si>
  <si>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</si>
  <si>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</si>
  <si>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</si>
  <si>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</si>
  <si>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</si>
  <si>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</si>
  <si>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</si>
  <si>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</si>
  <si>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</si>
  <si>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</si>
  <si>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</si>
  <si>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</si>
  <si>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</si>
  <si>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</si>
  <si>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</si>
  <si>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</si>
  <si>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</si>
  <si>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</si>
  <si>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</si>
  <si>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</si>
  <si>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</si>
  <si>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</si>
  <si>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</si>
  <si>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</si>
  <si>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</si>
  <si>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</si>
  <si>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</si>
  <si>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</si>
  <si>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</si>
  <si>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</si>
  <si>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</si>
  <si>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</si>
  <si>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</si>
  <si>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</si>
  <si>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</si>
  <si>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</si>
  <si>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</si>
  <si>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</si>
  <si>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</si>
  <si>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</si>
  <si>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</si>
  <si>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</si>
  <si>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</si>
  <si>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</si>
  <si>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</si>
  <si>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</si>
  <si>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</si>
  <si>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</si>
  <si>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</si>
  <si>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</si>
  <si>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</si>
  <si>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</si>
  <si>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</si>
  <si>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</si>
  <si>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</si>
  <si>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</si>
  <si>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</si>
  <si>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</si>
  <si>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</si>
  <si>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</si>
  <si>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</si>
  <si>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</si>
  <si>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</si>
  <si>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</si>
  <si>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</si>
  <si>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</si>
  <si>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</si>
  <si>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</si>
  <si>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</si>
  <si>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</si>
  <si>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</si>
  <si>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</si>
  <si>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</si>
  <si>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</si>
  <si>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</si>
  <si>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</si>
  <si>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</si>
  <si>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</si>
  <si>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</si>
  <si>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</si>
  <si>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</si>
  <si>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</si>
  <si>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</si>
  <si>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</si>
  <si>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</si>
  <si>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</si>
  <si>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</si>
  <si>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</si>
  <si>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</si>
  <si>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</si>
  <si>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</si>
  <si>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</si>
  <si>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</si>
  <si>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</si>
  <si>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</si>
  <si>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</si>
  <si>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</si>
  <si>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</si>
  <si>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</si>
  <si>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</si>
  <si>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</si>
  <si>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</si>
  <si>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</si>
  <si>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</si>
  <si>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</si>
  <si>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</si>
  <si>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</si>
  <si>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</si>
  <si>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</si>
  <si>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</si>
  <si>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</si>
  <si>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</si>
  <si>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</si>
  <si>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</si>
  <si>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</si>
  <si>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</si>
  <si>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</si>
  <si>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</si>
  <si>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</si>
  <si>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</si>
  <si>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</si>
  <si>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</si>
  <si>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</si>
  <si>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</si>
  <si>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</si>
  <si>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</si>
  <si>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</si>
  <si>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</si>
  <si>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</si>
  <si>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</si>
  <si>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</si>
  <si>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</si>
  <si>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</si>
  <si>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</si>
  <si>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</si>
  <si>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</si>
  <si>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</si>
  <si>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</si>
  <si>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</si>
  <si>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</si>
  <si>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</si>
  <si>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</si>
  <si>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</si>
  <si>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</si>
  <si>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</si>
  <si>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</si>
  <si>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</si>
  <si>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</si>
  <si>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</si>
  <si>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</si>
  <si>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</si>
  <si>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</si>
  <si>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</si>
  <si>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</si>
  <si>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</si>
  <si>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</si>
  <si>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</si>
  <si>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</si>
  <si>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</si>
  <si>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</si>
  <si>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</si>
  <si>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</si>
  <si>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</si>
  <si>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</si>
  <si>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</si>
  <si>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</si>
  <si>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</si>
  <si>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</si>
  <si>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</si>
  <si>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</si>
  <si>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</si>
  <si>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</si>
  <si>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</si>
  <si>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</si>
  <si>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</si>
  <si>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</si>
  <si>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</si>
  <si>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</si>
  <si>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</si>
  <si>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</si>
  <si>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</si>
  <si>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</si>
  <si>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</si>
  <si>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</si>
  <si>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</si>
  <si>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</si>
  <si>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</si>
  <si>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</si>
  <si>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</si>
  <si>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</si>
  <si>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</si>
  <si>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</si>
  <si>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</si>
  <si>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</si>
  <si>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</si>
  <si>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</si>
  <si>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</si>
  <si>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</si>
  <si>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</si>
  <si>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</si>
  <si>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</si>
  <si>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</si>
  <si>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</si>
  <si>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</si>
  <si>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</si>
  <si>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</si>
  <si>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</si>
  <si>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</si>
  <si>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</si>
  <si>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</si>
  <si>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</si>
  <si>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</si>
  <si>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</si>
  <si>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</si>
  <si>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</si>
  <si>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</si>
  <si>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</si>
  <si>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</si>
  <si>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</si>
  <si>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</si>
  <si>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</si>
  <si>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</si>
  <si>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</si>
  <si>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</si>
  <si>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</si>
  <si>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</si>
  <si>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</si>
  <si>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</si>
  <si>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</si>
  <si>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</si>
  <si>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</si>
  <si>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</si>
  <si>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</si>
  <si>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</si>
  <si>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</si>
  <si>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</si>
  <si>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</si>
  <si>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</si>
  <si>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</si>
  <si>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</si>
  <si>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</si>
  <si>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</si>
  <si>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</si>
  <si>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</si>
  <si>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</si>
  <si>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</si>
  <si>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</si>
  <si>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</si>
  <si>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</si>
  <si>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</si>
  <si>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</si>
  <si>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</si>
  <si>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</si>
  <si>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</si>
  <si>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</si>
  <si>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</si>
  <si>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</si>
  <si>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</si>
  <si>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</si>
  <si>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</si>
  <si>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</si>
  <si>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</si>
  <si>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</si>
  <si>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</si>
  <si>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</si>
  <si>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</si>
  <si>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</si>
  <si>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</si>
  <si>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</si>
  <si>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</si>
  <si>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</si>
  <si>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</si>
  <si>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</si>
  <si>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</si>
  <si>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</si>
  <si>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</si>
  <si>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</si>
  <si>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</si>
  <si>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</si>
  <si>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</si>
  <si>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</si>
  <si>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</si>
  <si>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</si>
  <si>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</si>
  <si>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</si>
  <si>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</si>
  <si>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</si>
  <si>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</si>
  <si>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</si>
  <si>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</si>
  <si>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</si>
  <si>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</si>
  <si>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</si>
  <si>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</si>
  <si>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</si>
  <si>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</si>
  <si>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</si>
  <si>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</si>
  <si>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</si>
  <si>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</si>
  <si>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</si>
  <si>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</si>
  <si>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</si>
  <si>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</si>
  <si>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</si>
  <si>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</si>
  <si>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</si>
  <si>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</si>
  <si>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</si>
  <si>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</si>
  <si>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</si>
  <si>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</si>
  <si>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</si>
  <si>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</si>
  <si>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</si>
  <si>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</si>
  <si>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</si>
  <si>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</si>
  <si>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</si>
  <si>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</si>
  <si>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</si>
  <si>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</si>
  <si>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</si>
  <si>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</si>
  <si>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</si>
  <si>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</si>
  <si>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</si>
  <si>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</si>
  <si>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</si>
  <si>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</si>
  <si>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</si>
  <si>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</si>
  <si>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</si>
  <si>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</si>
  <si>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</si>
  <si>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</si>
  <si>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</si>
  <si>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</si>
  <si>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</si>
  <si>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</si>
  <si>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</si>
  <si>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</si>
  <si>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</si>
  <si>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</si>
  <si>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</si>
  <si>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</si>
  <si>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</si>
  <si>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</si>
  <si>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</si>
  <si>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</si>
  <si>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</si>
  <si>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</si>
  <si>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</si>
  <si>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</si>
  <si>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</si>
  <si>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</si>
  <si>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</si>
  <si>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</si>
  <si>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</si>
  <si>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</si>
  <si>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</si>
  <si>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</si>
  <si>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</si>
  <si>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</si>
  <si>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</si>
  <si>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</si>
  <si>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</si>
  <si>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</si>
  <si>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</si>
  <si>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</si>
  <si>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</si>
  <si>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</si>
  <si>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</si>
  <si>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</si>
  <si>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</si>
  <si>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</si>
  <si>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</si>
  <si>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</si>
  <si>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</si>
  <si>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</si>
  <si>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</si>
  <si>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</si>
  <si>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</si>
  <si>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</si>
  <si>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</si>
  <si>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</si>
  <si>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</si>
  <si>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</si>
  <si>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</si>
  <si>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</si>
  <si>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</si>
  <si>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</si>
  <si>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</si>
  <si>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</si>
  <si>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</si>
  <si>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</si>
  <si>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</si>
  <si>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</si>
  <si>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</si>
  <si>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</si>
  <si>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</si>
  <si>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</si>
  <si>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</si>
  <si>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</si>
  <si>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</si>
  <si>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</si>
  <si>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</si>
  <si>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</si>
  <si>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</si>
  <si>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</si>
  <si>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</si>
  <si>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</si>
  <si>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</si>
  <si>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</si>
  <si>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</si>
  <si>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</si>
  <si>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</si>
  <si>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</si>
  <si>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</si>
  <si>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</si>
  <si>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</si>
  <si>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</si>
  <si>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</si>
  <si>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</si>
  <si>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</si>
  <si>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</si>
  <si>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</si>
  <si>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</si>
  <si>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</si>
  <si>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</si>
  <si>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</si>
  <si>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</si>
  <si>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</si>
  <si>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</si>
  <si>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</si>
  <si>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</si>
  <si>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</si>
  <si>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</si>
  <si>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</si>
  <si>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</si>
  <si>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</si>
  <si>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</si>
  <si>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</si>
  <si>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</si>
  <si>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</si>
  <si>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</si>
  <si>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</si>
  <si>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</si>
  <si>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</si>
  <si>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</si>
  <si>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</si>
  <si>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</si>
  <si>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</si>
  <si>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</si>
  <si>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</si>
  <si>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</si>
  <si>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</si>
  <si>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</si>
  <si>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</si>
  <si>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</si>
  <si>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</si>
  <si>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</si>
  <si>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</si>
  <si>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</si>
  <si>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</si>
  <si>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</si>
  <si>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</si>
  <si>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</si>
  <si>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</si>
  <si>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</si>
  <si>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</si>
  <si>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</si>
  <si>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</si>
  <si>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</si>
  <si>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</si>
  <si>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</si>
  <si>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</si>
  <si>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</si>
  <si>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</si>
  <si>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</si>
  <si>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</si>
  <si>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</si>
  <si>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</si>
  <si>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</si>
  <si>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</si>
  <si>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</si>
  <si>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</si>
  <si>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</si>
  <si>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</si>
  <si>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</si>
  <si>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</si>
  <si>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</si>
  <si>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</si>
  <si>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</si>
  <si>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</si>
  <si>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</si>
  <si>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</si>
  <si>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</si>
  <si>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</si>
  <si>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</si>
  <si>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</si>
  <si>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</si>
  <si>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</si>
  <si>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</si>
  <si>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</si>
  <si>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</si>
  <si>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</si>
  <si>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</si>
  <si>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</si>
  <si>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</si>
  <si>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</si>
  <si>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</si>
  <si>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</si>
  <si>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</si>
  <si>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</si>
  <si>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</si>
  <si>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</si>
  <si>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</si>
  <si>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</si>
  <si>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</si>
  <si>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</si>
  <si>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</si>
  <si>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</si>
  <si>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</si>
  <si>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</si>
  <si>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</si>
  <si>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</si>
  <si>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</si>
  <si>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</si>
  <si>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</si>
  <si>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</si>
  <si>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</si>
  <si>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</si>
  <si>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</si>
  <si>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</si>
  <si>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</si>
  <si>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</si>
  <si>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</si>
  <si>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</si>
  <si>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</si>
  <si>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</si>
  <si>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</si>
  <si>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</si>
  <si>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</si>
  <si>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</si>
  <si>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</si>
  <si>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</si>
  <si>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</si>
  <si>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</si>
  <si>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</si>
  <si>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</si>
  <si>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</si>
  <si>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</si>
  <si>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</si>
  <si>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</si>
  <si>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</si>
  <si>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</si>
  <si>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</si>
  <si>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</si>
  <si>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</si>
  <si>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</si>
  <si>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</si>
  <si>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</si>
  <si>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</si>
  <si>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</si>
  <si>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</si>
  <si>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</si>
  <si>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</si>
  <si>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</si>
  <si>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</si>
  <si>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</si>
  <si>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</si>
  <si>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</si>
  <si>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</si>
  <si>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</si>
  <si>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</si>
  <si>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</si>
  <si>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</si>
  <si>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</si>
  <si>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</si>
  <si>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</si>
  <si>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</si>
  <si>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</si>
  <si>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</si>
  <si>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</si>
  <si>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</si>
  <si>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</si>
  <si>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</si>
  <si>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</si>
  <si>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</si>
  <si>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</si>
  <si>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</si>
  <si>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</si>
  <si>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</si>
  <si>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</si>
  <si>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</si>
  <si>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</si>
  <si>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</si>
  <si>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</si>
  <si>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</si>
  <si>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</si>
  <si>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</si>
  <si>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</si>
  <si>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</si>
  <si>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</si>
  <si>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</si>
  <si>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</si>
  <si>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</si>
  <si>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</si>
  <si>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</si>
  <si>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</si>
  <si>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</si>
  <si>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</si>
  <si>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</si>
  <si>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</si>
  <si>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</si>
  <si>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</si>
  <si>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</si>
  <si>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</si>
  <si>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</si>
  <si>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</si>
  <si>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</si>
  <si>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</si>
  <si>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</si>
  <si>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</si>
  <si>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</si>
  <si>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</si>
  <si>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</si>
  <si>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</si>
  <si>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</si>
  <si>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</si>
  <si>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</si>
  <si>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</si>
  <si>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</si>
  <si>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</si>
  <si>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</si>
  <si>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</si>
  <si>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</si>
  <si>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</si>
  <si>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</si>
  <si>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</si>
  <si>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</si>
  <si>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</si>
  <si>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</si>
  <si>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</si>
  <si>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</si>
  <si>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</si>
  <si>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</si>
  <si>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</si>
  <si>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</si>
  <si>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</si>
  <si>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</si>
  <si>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</si>
  <si>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</si>
  <si>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</si>
  <si>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</si>
  <si>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</si>
  <si>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</si>
  <si>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</si>
  <si>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</si>
  <si>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</si>
  <si>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</si>
  <si>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</si>
  <si>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</si>
  <si>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</si>
  <si>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</si>
  <si>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</si>
  <si>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</si>
  <si>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</si>
  <si>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</si>
  <si>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</si>
  <si>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</si>
  <si>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</si>
  <si>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</si>
  <si>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</si>
  <si>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</si>
  <si>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</si>
  <si>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</si>
  <si>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</si>
  <si>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</si>
  <si>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</si>
  <si>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</si>
  <si>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</si>
  <si>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</si>
  <si>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</si>
  <si>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</si>
  <si>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</si>
  <si>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</si>
  <si>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</si>
  <si>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</si>
  <si>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</si>
  <si>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</si>
  <si>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</si>
  <si>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</si>
  <si>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</si>
  <si>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</si>
  <si>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</si>
  <si>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</si>
  <si>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</si>
  <si>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</si>
  <si>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</si>
  <si>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</si>
  <si>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</si>
  <si>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</si>
  <si>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</si>
  <si>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</si>
  <si>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</si>
  <si>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</si>
  <si>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</si>
  <si>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</si>
  <si>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</si>
  <si>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</si>
  <si>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</si>
  <si>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</si>
  <si>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</si>
  <si>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</si>
  <si>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</si>
  <si>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</si>
  <si>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</si>
  <si>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</si>
  <si>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</si>
  <si>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</si>
  <si>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</si>
  <si>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</si>
  <si>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</si>
  <si>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</si>
  <si>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</si>
  <si>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</si>
  <si>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</si>
  <si>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</si>
  <si>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</si>
  <si>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</si>
  <si>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</si>
  <si>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</si>
  <si>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</si>
  <si>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</si>
  <si>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</si>
  <si>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</si>
  <si>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</si>
  <si>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</si>
  <si>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</si>
  <si>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</si>
  <si>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</si>
  <si>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</si>
  <si>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</si>
  <si>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</si>
  <si>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</si>
  <si>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</si>
  <si>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</si>
  <si>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</si>
  <si>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</si>
  <si>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</si>
  <si>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</si>
  <si>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</si>
  <si>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</si>
  <si>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</si>
  <si>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</si>
  <si>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</si>
  <si>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</si>
  <si>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</si>
  <si>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</si>
  <si>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</si>
  <si>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</si>
  <si>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</si>
  <si>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</si>
  <si>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</si>
  <si>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</si>
  <si>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</si>
  <si>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</si>
  <si>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</si>
  <si>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</si>
  <si>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</si>
  <si>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</si>
  <si>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</si>
  <si>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</si>
  <si>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</si>
  <si>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</si>
  <si>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</si>
  <si>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</si>
  <si>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</si>
  <si>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</si>
  <si>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</si>
  <si>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</si>
  <si>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</si>
  <si>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</si>
  <si>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</si>
  <si>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</si>
  <si>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</si>
  <si>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</si>
  <si>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</si>
  <si>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</si>
  <si>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</si>
  <si>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</si>
  <si>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</si>
  <si>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</si>
  <si>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</si>
  <si>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</si>
  <si>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</si>
  <si>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</si>
  <si>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</si>
  <si>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</si>
  <si>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</si>
  <si>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</si>
  <si>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</si>
  <si>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</si>
  <si>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</si>
  <si>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</si>
  <si>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</si>
  <si>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</si>
  <si>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</si>
  <si>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</si>
  <si>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</si>
  <si>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</si>
  <si>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</si>
  <si>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</si>
  <si>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</si>
  <si>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</si>
  <si>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</si>
  <si>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</si>
  <si>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</si>
  <si>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</si>
  <si>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</si>
  <si>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</si>
  <si>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</si>
  <si>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</si>
  <si>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</si>
  <si>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</si>
  <si>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</si>
  <si>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</si>
  <si>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</si>
  <si>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</si>
  <si>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</si>
  <si>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</si>
  <si>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</si>
  <si>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</si>
  <si>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</si>
  <si>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</si>
  <si>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</si>
  <si>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</si>
  <si>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</si>
  <si>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</si>
  <si>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</si>
  <si>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</si>
  <si>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</si>
  <si>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</si>
  <si>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</si>
  <si>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</si>
  <si>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</si>
  <si>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</si>
  <si>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</si>
  <si>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</si>
  <si>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</si>
  <si>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</si>
  <si>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</si>
  <si>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</si>
  <si>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</si>
  <si>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</si>
  <si>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</si>
  <si>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</si>
  <si>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</si>
  <si>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</si>
  <si>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</si>
  <si>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</si>
  <si>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</si>
  <si>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</si>
  <si>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</si>
  <si>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</si>
  <si>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</si>
  <si>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</si>
  <si>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</si>
  <si>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</si>
  <si>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</si>
  <si>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</si>
  <si>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</si>
  <si>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</si>
  <si>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</si>
  <si>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</si>
  <si>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</si>
  <si>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</si>
  <si>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</si>
  <si>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</si>
  <si>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</si>
  <si>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</si>
  <si>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</si>
  <si>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</si>
  <si>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</si>
  <si>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</si>
  <si>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</si>
  <si>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</si>
  <si>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</si>
  <si>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</si>
  <si>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</si>
  <si>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</si>
  <si>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</si>
  <si>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</si>
  <si>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</si>
  <si>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</si>
  <si>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</si>
  <si>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</si>
  <si>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</si>
  <si>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</si>
  <si>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</si>
  <si>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</si>
  <si>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</si>
  <si>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</si>
  <si>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</si>
  <si>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</si>
  <si>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</si>
  <si>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</si>
  <si>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</si>
  <si>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</si>
  <si>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</si>
  <si>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</si>
  <si>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</si>
  <si>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</si>
  <si>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</si>
  <si>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</si>
  <si>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</si>
  <si>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</si>
  <si>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</si>
  <si>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</si>
  <si>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</si>
  <si>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</si>
  <si>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</si>
  <si>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</si>
  <si>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</si>
  <si>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</si>
  <si>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</si>
  <si>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</si>
  <si>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</si>
  <si>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</si>
  <si>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</si>
  <si>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</si>
  <si>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</si>
  <si>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</si>
  <si>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</si>
  <si>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</si>
  <si>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</si>
  <si>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</si>
  <si>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# backers</t>
  </si>
  <si>
    <t>avg donation</t>
  </si>
  <si>
    <t>outcome</t>
  </si>
  <si>
    <t>Standard Deviation</t>
  </si>
  <si>
    <t>1st Quartle</t>
  </si>
  <si>
    <t>3rd Quartle</t>
  </si>
  <si>
    <t>Goal $</t>
  </si>
  <si>
    <t>Pledged $</t>
  </si>
  <si>
    <t>Mean Goal</t>
  </si>
  <si>
    <t>Median Goal</t>
  </si>
  <si>
    <t>1st Quartile</t>
  </si>
  <si>
    <t>3rd Quartile</t>
  </si>
  <si>
    <t>IQR of Goal</t>
  </si>
  <si>
    <t>Mean Plegded</t>
  </si>
  <si>
    <t>Median Pledged</t>
  </si>
  <si>
    <t>IQR of Pledged</t>
  </si>
  <si>
    <t>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</si>
  <si>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</si>
  <si>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</si>
  <si>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</si>
  <si>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</si>
  <si>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</si>
  <si>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</si>
  <si>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</si>
  <si>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</si>
  <si>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</si>
  <si>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</si>
  <si>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</si>
  <si>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</si>
  <si>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</si>
  <si>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</si>
  <si>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</si>
  <si>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</si>
  <si>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</si>
  <si>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and up</t>
  </si>
  <si>
    <t>parent category</t>
  </si>
  <si>
    <t>campaign length in days</t>
  </si>
  <si>
    <t>All US Plays</t>
  </si>
  <si>
    <t>All US Failed</t>
  </si>
  <si>
    <t>All US Success</t>
  </si>
  <si>
    <t>All US</t>
  </si>
  <si>
    <t>Successful US Plays</t>
  </si>
  <si>
    <t>Failed US Plays</t>
  </si>
  <si>
    <t>Pledged</t>
  </si>
  <si>
    <t>Outcome</t>
  </si>
  <si>
    <t>Country</t>
  </si>
  <si>
    <t>R = Subcategory</t>
  </si>
  <si>
    <t>Less than 1000</t>
  </si>
  <si>
    <t>1000 to 4999</t>
  </si>
  <si>
    <t>count with backers</t>
  </si>
  <si>
    <t>% with backers</t>
  </si>
  <si>
    <t>% with &gt;0 backers</t>
  </si>
  <si>
    <t>count with &gt;0 backers</t>
  </si>
  <si>
    <t>% with &gt;10 backers</t>
  </si>
  <si>
    <t>count with &gt;10 backers</t>
  </si>
  <si>
    <t>% with &lt;10 backers</t>
  </si>
  <si>
    <t>count with &lt;10 backers</t>
  </si>
  <si>
    <t>Failed US Plays with $$ Goal</t>
  </si>
  <si>
    <t>Successful US Plays with $$ Goal</t>
  </si>
  <si>
    <t>All Plays US with $$ Goal</t>
  </si>
  <si>
    <t>Failed US with $$ Goal</t>
  </si>
  <si>
    <t>Successful US with $$ Goal</t>
  </si>
  <si>
    <t>All US with $$ Goal</t>
  </si>
  <si>
    <t>Average Backer count</t>
  </si>
  <si>
    <t>Median Backer Count</t>
  </si>
  <si>
    <t>IQR of Backers</t>
  </si>
  <si>
    <t>1st Quartle of Backers</t>
  </si>
  <si>
    <t>3rd Quartle of Backers</t>
  </si>
  <si>
    <t>Backer count</t>
  </si>
  <si>
    <t>count of projects</t>
  </si>
  <si>
    <t>k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</si>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</sst>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1" applyNumberFormat="1" applyFont="1"/>
    <xf numFmtId="165" fontId="0" fillId="0" borderId="0" xfId="1" applyNumberFormat="1" applyFont="1"/>
    <xf numFmtId="0" fontId="0" fillId="0" borderId="0" xfId="1" applyNumberFormat="1" applyFont="1"/>
    <xf numFmtId="0" fontId="3" fillId="0" borderId="0" xfId="0" applyFont="1" applyAlignment="1">
      <alignment horizontal="left" vertical="center" wrapText="1" indent="1"/>
    </xf>
    <xf numFmtId="9" fontId="0" fillId="0" borderId="0" xfId="2" applyFont="1"/>
    <xf numFmtId="164" fontId="0" fillId="0" borderId="0" xfId="1" applyNumberFormat="1" applyFont="1"/>
    <xf numFmtId="0" fontId="0" fillId="0" borderId="0" xfId="0" applyFont="1"/>
    <xf numFmtId="2" fontId="0" fillId="0" borderId="0" xfId="1" applyNumberFormat="1" applyFont="1"/>
    <xf numFmtId="10" fontId="0" fillId="0" borderId="0" xfId="1" applyNumberFormat="1" applyFont="1"/>
    <xf numFmtId="1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2" formatCode="0.00"/>
    </dxf>
    <dxf>
      <font>
        <color rgb="FFFFFF0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Parent Category Outcomes</a:t>
            </a:r>
          </a:p>
        </c:rich>
      </c:tx>
      <c:layout>
        <c:manualLayout>
          <c:xMode val="edge"/>
          <c:yMode val="edge"/>
          <c:x val="0.32196633138978431"/>
          <c:y val="4.0654568786728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0.00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5A0-4572-912F-2AD3BC097220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0.00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5A0-4572-912F-2AD3BC097220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0.00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5A0-4572-912F-2AD3BC097220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0.00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5A0-4572-912F-2AD3BC0972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23284088"/>
        <c:axId val="723281136"/>
      </c:barChart>
      <c:catAx>
        <c:axId val="723284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81136"/>
        <c:crosses val="autoZero"/>
        <c:auto val="1"/>
        <c:lblAlgn val="ctr"/>
        <c:lblOffset val="100"/>
        <c:noMultiLvlLbl val="0"/>
      </c:catAx>
      <c:valAx>
        <c:axId val="72328113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72328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66683117601751E-2"/>
          <c:y val="9.3345501497590216E-2"/>
          <c:w val="0.9508596548294711"/>
          <c:h val="0.632270192797062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Statistics'!$B$8:$B$11</c:f>
              <c:numCache>
                <c:formatCode>0.00%</c:formatCode>
                <c:ptCount val="3"/>
                <c:pt idx="0">
                  <c:v>1.4357501794687724E-2</c:v>
                </c:pt>
                <c:pt idx="1">
                  <c:v>0</c:v>
                </c:pt>
                <c:pt idx="2">
                  <c:v>1.2203876525484566E-2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4-4FE9-9369-FD4B3AABAD80}"/>
            </c:ext>
          </c:extLst>
        </c:ser>
        <c:ser>
          <c:idx val="1"/>
          <c:order val="1"/>
          <c:tx>
            <c:strRef>
              <c:f>'Subcategory Statistics'!$C$6:$C$7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Statistics'!$C$8:$C$11</c:f>
              <c:numCache>
                <c:formatCode>0.00%</c:formatCode>
                <c:ptCount val="3"/>
                <c:pt idx="0">
                  <c:v>4.3072505384063174E-2</c:v>
                </c:pt>
                <c:pt idx="1">
                  <c:v>0.25340990667623836</c:v>
                </c:pt>
                <c:pt idx="2">
                  <c:v>5.7430007178750894E-2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4-4FE9-9369-FD4B3AABAD80}"/>
            </c:ext>
          </c:extLst>
        </c:ser>
        <c:ser>
          <c:idx val="2"/>
          <c:order val="2"/>
          <c:tx>
            <c:strRef>
              <c:f>'Subcategory Statistics'!$D$6:$D$7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Statistics'!$D$8:$D$11</c:f>
              <c:numCache>
                <c:formatCode>0.00%</c:formatCode>
                <c:ptCount val="3"/>
                <c:pt idx="0">
                  <c:v>0</c:v>
                </c:pt>
                <c:pt idx="1">
                  <c:v>1.3639626704953339E-2</c:v>
                </c:pt>
                <c:pt idx="2">
                  <c:v>3.5893754486719309E-3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4-4FE9-9369-FD4B3AABAD80}"/>
            </c:ext>
          </c:extLst>
        </c:ser>
        <c:ser>
          <c:idx val="3"/>
          <c:order val="3"/>
          <c:tx>
            <c:strRef>
              <c:f>'Subcategory Statistics'!$E$6:$E$7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Statistics'!$E$8:$E$11</c:f>
              <c:numCache>
                <c:formatCode>0.00%</c:formatCode>
                <c:ptCount val="3"/>
                <c:pt idx="0">
                  <c:v>4.3072505384063174E-2</c:v>
                </c:pt>
                <c:pt idx="1">
                  <c:v>0.49820531227566406</c:v>
                </c:pt>
                <c:pt idx="2">
                  <c:v>6.1019382627422826E-2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0-4B8E-B70F-C299FF5B7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37968"/>
        <c:axId val="506538296"/>
      </c:barChart>
      <c:catAx>
        <c:axId val="5065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38296"/>
        <c:crosses val="autoZero"/>
        <c:auto val="1"/>
        <c:lblAlgn val="ctr"/>
        <c:lblOffset val="100"/>
        <c:noMultiLvlLbl val="0"/>
      </c:catAx>
      <c:valAx>
        <c:axId val="5065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58372591246607"/>
          <c:y val="0.92623015771173456"/>
          <c:w val="0.37666986338246178"/>
          <c:h val="4.0989614955124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Projects with $10,000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Statistics'!$H$18:$J$18</c:f>
              <c:numCache>
                <c:formatCode>"$"#,##0.00</c:formatCode>
                <c:ptCount val="3"/>
                <c:pt idx="0">
                  <c:v>9742.113967391304</c:v>
                </c:pt>
                <c:pt idx="1">
                  <c:v>18960.202967032968</c:v>
                </c:pt>
                <c:pt idx="2">
                  <c:v>618.47794117647061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DDC-42A6-9CC7-0E735977F1A7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Statistics'!$H$19:$J$19</c:f>
              <c:numCache>
                <c:formatCode>"$"#,##0.00</c:formatCode>
                <c:ptCount val="3"/>
                <c:pt idx="0">
                  <c:v>7147.5</c:v>
                </c:pt>
                <c:pt idx="1">
                  <c:v>11230.25</c:v>
                </c:pt>
                <c:pt idx="2">
                  <c:v>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DDC-42A6-9CC7-0E735977F1A7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Statistics'!$H$20:$J$20</c:f>
              <c:numCache>
                <c:formatCode>"$"#,##0.00</c:formatCode>
                <c:ptCount val="3"/>
                <c:pt idx="0">
                  <c:v>20021.08354449887</c:v>
                </c:pt>
                <c:pt idx="1">
                  <c:v>25303.452861263537</c:v>
                </c:pt>
                <c:pt idx="2">
                  <c:v>1306.6677123671573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DDC-42A6-9CC7-0E735977F1A7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Statistics'!$H$21:$J$21</c:f>
              <c:numCache>
                <c:formatCode>"$"#,##0.00</c:formatCode>
                <c:ptCount val="3"/>
                <c:pt idx="0">
                  <c:v>82.75</c:v>
                </c:pt>
                <c:pt idx="1">
                  <c:v>10300</c:v>
                </c:pt>
                <c:pt idx="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DDC-42A6-9CC7-0E735977F1A7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Statistics'!$H$22:$J$22</c:f>
              <c:numCache>
                <c:formatCode>"$"#,##0.00</c:formatCode>
                <c:ptCount val="3"/>
                <c:pt idx="0">
                  <c:v>11212.6875</c:v>
                </c:pt>
                <c:pt idx="1">
                  <c:v>14511</c:v>
                </c:pt>
                <c:pt idx="2">
                  <c:v>622.75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DDC-42A6-9CC7-0E735977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Statistics'!$H$23:$J$23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11129.9375</c:v>
                      </c:pt>
                      <c:pt idx="1">
                        <c:v>4211</c:v>
                      </c:pt>
                      <c:pt idx="2">
                        <c:v>622.75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ADDC-42A6-9CC7-0E735977F1A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Statistics'!$H$30:$J$30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184</c:v>
                      </c:pt>
                      <c:pt idx="1">
                        <c:v>91</c:v>
                      </c:pt>
                      <c:pt idx="2">
                        <c:v>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DC-42A6-9CC7-0E735977F1A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Statistics'!$H$31:$J$31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157</c:v>
                      </c:pt>
                      <c:pt idx="1">
                        <c:v>91</c:v>
                      </c:pt>
                      <c:pt idx="2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DC-42A6-9CC7-0E735977F1A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Statistics'!$H$32:$J$32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112</c:v>
                      </c:pt>
                      <c:pt idx="1">
                        <c:v>91</c:v>
                      </c:pt>
                      <c:pt idx="2">
                        <c:v>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DC-42A6-9CC7-0E735977F1A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Statistics'!$H$33:$J$33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69</c:v>
                      </c:pt>
                      <c:pt idx="1">
                        <c:v>0</c:v>
                      </c:pt>
                      <c:pt idx="2">
                        <c:v>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DDC-42A6-9CC7-0E735977F1A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Statistics'!$H$34:$J$34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0.85326086956521741</c:v>
                      </c:pt>
                      <c:pt idx="1">
                        <c:v>1</c:v>
                      </c:pt>
                      <c:pt idx="2">
                        <c:v>0.70588235294117652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DDC-42A6-9CC7-0E735977F1A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Statistics'!$H$35:$J$35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0.60869565217391308</c:v>
                      </c:pt>
                      <c:pt idx="1">
                        <c:v>1</c:v>
                      </c:pt>
                      <c:pt idx="2">
                        <c:v>0.20588235294117646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DDC-42A6-9CC7-0E735977F1A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Statistics'!$H$36:$J$36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0.375</c:v>
                      </c:pt>
                      <c:pt idx="1">
                        <c:v>0</c:v>
                      </c:pt>
                      <c:pt idx="2">
                        <c:v>0.76470588235294112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DDC-42A6-9CC7-0E735977F1A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Statistics'!$H$24:$J$24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119.30978260869566</c:v>
                      </c:pt>
                      <c:pt idx="1">
                        <c:v>230.87912087912088</c:v>
                      </c:pt>
                      <c:pt idx="2">
                        <c:v>10.191176470588236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DDC-42A6-9CC7-0E735977F1A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Statistics'!$H$25:$J$25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43</c:v>
                      </c:pt>
                      <c:pt idx="1">
                        <c:v>134</c:v>
                      </c:pt>
                      <c:pt idx="2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DDC-42A6-9CC7-0E735977F1A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Statistics'!$H$26:$J$26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300.18752601310035</c:v>
                      </c:pt>
                      <c:pt idx="1">
                        <c:v>396.49491315459386</c:v>
                      </c:pt>
                      <c:pt idx="2">
                        <c:v>20.73236837932215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DDC-42A6-9CC7-0E735977F1A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Statistics'!$H$27:$J$27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3</c:v>
                      </c:pt>
                      <c:pt idx="1">
                        <c:v>88</c:v>
                      </c:pt>
                      <c:pt idx="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DDC-42A6-9CC7-0E735977F1A7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Statistics'!$H$28:$J$28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136.25</c:v>
                      </c:pt>
                      <c:pt idx="1">
                        <c:v>190</c:v>
                      </c:pt>
                      <c:pt idx="2">
                        <c:v>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DDC-42A6-9CC7-0E735977F1A7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Statistics'!$H$29:$J$29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133.25</c:v>
                      </c:pt>
                      <c:pt idx="1">
                        <c:v>102</c:v>
                      </c:pt>
                      <c:pt idx="2">
                        <c:v>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DDC-42A6-9CC7-0E735977F1A7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Plays with $10,000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Statistics'!$K$18:$M$18</c:f>
              <c:numCache>
                <c:formatCode>"$"#,##0.00</c:formatCode>
                <c:ptCount val="3"/>
                <c:pt idx="0">
                  <c:v>7076.6354999999994</c:v>
                </c:pt>
                <c:pt idx="1">
                  <c:v>11088.684166666666</c:v>
                </c:pt>
                <c:pt idx="2">
                  <c:v>644.42857142857144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31E-4600-BCF7-8A3C02005E4C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Statistics'!$K$19:$M$19</c:f>
              <c:numCache>
                <c:formatCode>"$"#,##0.00</c:formatCode>
                <c:ptCount val="3"/>
                <c:pt idx="0">
                  <c:v>10100</c:v>
                </c:pt>
                <c:pt idx="1">
                  <c:v>10497.5</c:v>
                </c:pt>
                <c:pt idx="2">
                  <c:v>199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31E-4600-BCF7-8A3C02005E4C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Statistics'!$K$20:$M$20</c:f>
              <c:numCache>
                <c:formatCode>"$"#,##0.00</c:formatCode>
                <c:ptCount val="3"/>
                <c:pt idx="0">
                  <c:v>5161.8955393876149</c:v>
                </c:pt>
                <c:pt idx="1">
                  <c:v>1312.7313164794916</c:v>
                </c:pt>
                <c:pt idx="2">
                  <c:v>992.07003743872508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31E-4600-BCF7-8A3C02005E4C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Statistics'!$K$21:$M$21</c:f>
              <c:numCache>
                <c:formatCode>"$"#,##0.00</c:formatCode>
                <c:ptCount val="3"/>
                <c:pt idx="0">
                  <c:v>485.5</c:v>
                </c:pt>
                <c:pt idx="1">
                  <c:v>10138.75</c:v>
                </c:pt>
                <c:pt idx="2">
                  <c:v>15.75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31E-4600-BCF7-8A3C02005E4C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Statistics'!$K$22:$M$22</c:f>
              <c:numCache>
                <c:formatCode>"$"#,##0.00</c:formatCode>
                <c:ptCount val="3"/>
                <c:pt idx="0">
                  <c:v>10664.5</c:v>
                </c:pt>
                <c:pt idx="1">
                  <c:v>11996</c:v>
                </c:pt>
                <c:pt idx="2">
                  <c:v>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B31E-4600-BCF7-8A3C0200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Statistics'!$K$23:$M$23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10179</c:v>
                      </c:pt>
                      <c:pt idx="1">
                        <c:v>1857.25</c:v>
                      </c:pt>
                      <c:pt idx="2">
                        <c:v>888.25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B31E-4600-BCF7-8A3C02005E4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Statistics'!$K$30:$M$30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</c:v>
                      </c:pt>
                      <c:pt idx="1">
                        <c:v>24</c:v>
                      </c:pt>
                      <c:pt idx="2">
                        <c:v>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1E-4600-BCF7-8A3C02005E4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Statistics'!$K$31:$M$31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39</c:v>
                      </c:pt>
                      <c:pt idx="1">
                        <c:v>24</c:v>
                      </c:pt>
                      <c:pt idx="2">
                        <c:v>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1E-4600-BCF7-8A3C02005E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Statistics'!$K$32:$M$32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28</c:v>
                      </c:pt>
                      <c:pt idx="1">
                        <c:v>24</c:v>
                      </c:pt>
                      <c:pt idx="2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1E-4600-BCF7-8A3C02005E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Statistics'!$K$33:$M$33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11</c:v>
                      </c:pt>
                      <c:pt idx="1">
                        <c:v>0</c:v>
                      </c:pt>
                      <c:pt idx="2">
                        <c:v>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1E-4600-BCF7-8A3C02005E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Statistics'!$K$34:$M$34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0.97499999999999998</c:v>
                      </c:pt>
                      <c:pt idx="1">
                        <c:v>1</c:v>
                      </c:pt>
                      <c:pt idx="2">
                        <c:v>0.9285714285714286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1E-4600-BCF7-8A3C02005E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Statistics'!$K$35:$M$35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0.7</c:v>
                      </c:pt>
                      <c:pt idx="1">
                        <c:v>1</c:v>
                      </c:pt>
                      <c:pt idx="2">
                        <c:v>0.21428571428571427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31E-4600-BCF7-8A3C02005E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Statistics'!$K$36:$M$36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0.27500000000000002</c:v>
                      </c:pt>
                      <c:pt idx="1">
                        <c:v>0</c:v>
                      </c:pt>
                      <c:pt idx="2">
                        <c:v>0.7142857142857143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31E-4600-BCF7-8A3C02005E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Statistics'!$K$24:$M$24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72.25</c:v>
                      </c:pt>
                      <c:pt idx="1">
                        <c:v>114.16666666666667</c:v>
                      </c:pt>
                      <c:pt idx="2">
                        <c:v>8.2857142857142865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31E-4600-BCF7-8A3C02005E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Statistics'!$K$25:$M$25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72</c:v>
                      </c:pt>
                      <c:pt idx="1">
                        <c:v>100</c:v>
                      </c:pt>
                      <c:pt idx="2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31E-4600-BCF7-8A3C02005E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Statistics'!$K$26:$M$26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62.820677328408358</c:v>
                      </c:pt>
                      <c:pt idx="1">
                        <c:v>45.958918853931088</c:v>
                      </c:pt>
                      <c:pt idx="2">
                        <c:v>9.5351123405515672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31E-4600-BCF7-8A3C02005E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Statistics'!$K$27:$M$27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7.5</c:v>
                      </c:pt>
                      <c:pt idx="1">
                        <c:v>74</c:v>
                      </c:pt>
                      <c:pt idx="2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31E-4600-BCF7-8A3C02005E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Statistics'!$K$28:$M$28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121.5</c:v>
                      </c:pt>
                      <c:pt idx="1">
                        <c:v>161</c:v>
                      </c:pt>
                      <c:pt idx="2">
                        <c:v>10.75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31E-4600-BCF7-8A3C02005E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Statistics'!$K$29:$M$29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114</c:v>
                      </c:pt>
                      <c:pt idx="1">
                        <c:v>87</c:v>
                      </c:pt>
                      <c:pt idx="2">
                        <c:v>8.75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31E-4600-BCF7-8A3C02005E4C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Statistics'!$B$18:$D$18</c:f>
              <c:numCache>
                <c:formatCode>"$"#,##0.00</c:formatCode>
                <c:ptCount val="3"/>
                <c:pt idx="0">
                  <c:v>11910.023887425941</c:v>
                </c:pt>
                <c:pt idx="1">
                  <c:v>19327.924264082387</c:v>
                </c:pt>
                <c:pt idx="2">
                  <c:v>1522.7545305378305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99B2-49DD-9612-0B872FA1E80F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Statistics'!$B$19:$D$19</c:f>
              <c:numCache>
                <c:formatCode>"$"#,##0.00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9B2-49DD-9612-0B872FA1E80F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Statistics'!$B$20:$D$20</c:f>
              <c:numCache>
                <c:formatCode>"$"#,##0.00</c:formatCode>
                <c:ptCount val="3"/>
                <c:pt idx="0">
                  <c:v>58768.535972880702</c:v>
                </c:pt>
                <c:pt idx="1">
                  <c:v>58768.535972880702</c:v>
                </c:pt>
                <c:pt idx="2">
                  <c:v>6166.4644879023208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9B2-49DD-9612-0B872FA1E80F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Statistics'!$B$21:$D$21</c:f>
              <c:numCache>
                <c:formatCode>"$"#,##0.00</c:formatCode>
                <c:ptCount val="3"/>
                <c:pt idx="0">
                  <c:v>141.75</c:v>
                </c:pt>
                <c:pt idx="1">
                  <c:v>2119.9899999999998</c:v>
                </c:pt>
                <c:pt idx="2">
                  <c:v>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99B2-49DD-9612-0B872FA1E80F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Statistics'!$B$22:$D$22</c:f>
              <c:numCache>
                <c:formatCode>"$"#,##0.00</c:formatCode>
                <c:ptCount val="3"/>
                <c:pt idx="0">
                  <c:v>6685.75</c:v>
                </c:pt>
                <c:pt idx="1">
                  <c:v>13293.8</c:v>
                </c:pt>
                <c:pt idx="2">
                  <c:v>731.75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99B2-49DD-9612-0B872FA1E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Statistics'!$B$23:$D$23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6544</c:v>
                      </c:pt>
                      <c:pt idx="1">
                        <c:v>11173.81</c:v>
                      </c:pt>
                      <c:pt idx="2">
                        <c:v>726.75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99B2-49DD-9612-0B872FA1E80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Statistics'!$B$30:$D$30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3038</c:v>
                      </c:pt>
                      <c:pt idx="1">
                        <c:v>1651</c:v>
                      </c:pt>
                      <c:pt idx="2">
                        <c:v>1097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9B2-49DD-9612-0B872FA1E80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Statistics'!$B$31:$D$31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2751</c:v>
                      </c:pt>
                      <c:pt idx="1">
                        <c:v>1651</c:v>
                      </c:pt>
                      <c:pt idx="2">
                        <c:v>892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9B2-49DD-9612-0B872FA1E80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Statistics'!$B$32:$D$32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1984</c:v>
                      </c:pt>
                      <c:pt idx="1">
                        <c:v>1593</c:v>
                      </c:pt>
                      <c:pt idx="2">
                        <c:v>303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9B2-49DD-9612-0B872FA1E80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Statistics'!$B$33:$D$33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1021</c:v>
                      </c:pt>
                      <c:pt idx="1">
                        <c:v>46</c:v>
                      </c:pt>
                      <c:pt idx="2">
                        <c:v>777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9B2-49DD-9612-0B872FA1E80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Statistics'!$B$34:$D$34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0.90552995391705071</c:v>
                      </c:pt>
                      <c:pt idx="1">
                        <c:v>1</c:v>
                      </c:pt>
                      <c:pt idx="2">
                        <c:v>0.81312670920692798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9B2-49DD-9612-0B872FA1E80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Statistics'!$B$35:$D$35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0.65306122448979587</c:v>
                      </c:pt>
                      <c:pt idx="1">
                        <c:v>0.96486977589339795</c:v>
                      </c:pt>
                      <c:pt idx="2">
                        <c:v>0.27620783956244305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9B2-49DD-9612-0B872FA1E80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Statistics'!$B$36:$D$36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0.33607636603028307</c:v>
                      </c:pt>
                      <c:pt idx="1">
                        <c:v>2.7861901877649909E-2</c:v>
                      </c:pt>
                      <c:pt idx="2">
                        <c:v>0.7082953509571559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9B2-49DD-9612-0B872FA1E80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Statistics'!$B$24:$D$24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122.17248189598421</c:v>
                      </c:pt>
                      <c:pt idx="1">
                        <c:v>207.60629921259843</c:v>
                      </c:pt>
                      <c:pt idx="2">
                        <c:v>16.299908842297175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9B2-49DD-9612-0B872FA1E80F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Statistics'!$B$25:$D$25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25</c:v>
                      </c:pt>
                      <c:pt idx="1">
                        <c:v>25</c:v>
                      </c:pt>
                      <c:pt idx="2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9B2-49DD-9612-0B872FA1E80F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Statistics'!$B$26:$D$26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623.51211859623334</c:v>
                      </c:pt>
                      <c:pt idx="1">
                        <c:v>623.51211859623334</c:v>
                      </c:pt>
                      <c:pt idx="2">
                        <c:v>51.432659285661792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9B2-49DD-9612-0B872FA1E80F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Statistics'!$B$27:$D$27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</c:v>
                      </c:pt>
                      <c:pt idx="1">
                        <c:v>31</c:v>
                      </c:pt>
                      <c:pt idx="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9B2-49DD-9612-0B872FA1E80F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Statistics'!$B$28:$D$28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83.25</c:v>
                      </c:pt>
                      <c:pt idx="1">
                        <c:v>157</c:v>
                      </c:pt>
                      <c:pt idx="2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9B2-49DD-9612-0B872FA1E80F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Statistics'!$B$29:$D$29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79.25</c:v>
                      </c:pt>
                      <c:pt idx="1">
                        <c:v>126</c:v>
                      </c:pt>
                      <c:pt idx="2">
                        <c:v>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9B2-49DD-9612-0B872FA1E80F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Statistics'!$E$18:$G$18</c:f>
              <c:numCache>
                <c:formatCode>"$"#,##0.00</c:formatCode>
                <c:ptCount val="3"/>
                <c:pt idx="0">
                  <c:v>3684.9233681073028</c:v>
                </c:pt>
                <c:pt idx="1">
                  <c:v>5601.5458009708727</c:v>
                </c:pt>
                <c:pt idx="2">
                  <c:v>558.65484000000004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4F-4492-8A00-A2776F7FF237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Statistics'!$E$19:$G$19</c:f>
              <c:numCache>
                <c:formatCode>"$"#,##0.00</c:formatCode>
                <c:ptCount val="3"/>
                <c:pt idx="0">
                  <c:v>1742</c:v>
                </c:pt>
                <c:pt idx="1">
                  <c:v>3167.5</c:v>
                </c:pt>
                <c:pt idx="2">
                  <c:v>103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14F-4492-8A00-A2776F7FF237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Statistics'!$E$20:$G$20</c:f>
              <c:numCache>
                <c:formatCode>"$"#,##0.00</c:formatCode>
                <c:ptCount val="3"/>
                <c:pt idx="0">
                  <c:v>7042.475851784011</c:v>
                </c:pt>
                <c:pt idx="1">
                  <c:v>8334.5731699164608</c:v>
                </c:pt>
                <c:pt idx="2">
                  <c:v>1330.5230280400915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514F-4492-8A00-A2776F7FF237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Statistics'!$E$21:$G$21</c:f>
              <c:numCache>
                <c:formatCode>"$"#,##0.00</c:formatCode>
                <c:ptCount val="3"/>
                <c:pt idx="0">
                  <c:v>251</c:v>
                </c:pt>
                <c:pt idx="1">
                  <c:v>1716.5074999999999</c:v>
                </c:pt>
                <c:pt idx="2">
                  <c:v>9.25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14F-4492-8A00-A2776F7FF237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Statistics'!$E$22:$G$22</c:f>
              <c:numCache>
                <c:formatCode>"$"#,##0.00</c:formatCode>
                <c:ptCount val="3"/>
                <c:pt idx="0">
                  <c:v>4018</c:v>
                </c:pt>
                <c:pt idx="1">
                  <c:v>5699</c:v>
                </c:pt>
                <c:pt idx="2">
                  <c:v>501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514F-4492-8A00-A2776F7FF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Statistics'!$E$23:$G$23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3767</c:v>
                      </c:pt>
                      <c:pt idx="1">
                        <c:v>3982.4925000000003</c:v>
                      </c:pt>
                      <c:pt idx="2">
                        <c:v>491.75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514F-4492-8A00-A2776F7FF23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Statistics'!$E$30:$G$30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671</c:v>
                      </c:pt>
                      <c:pt idx="1">
                        <c:v>412</c:v>
                      </c:pt>
                      <c:pt idx="2">
                        <c:v>250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14F-4492-8A00-A2776F7FF23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Statistics'!$E$31:$G$31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631</c:v>
                      </c:pt>
                      <c:pt idx="1">
                        <c:v>412</c:v>
                      </c:pt>
                      <c:pt idx="2">
                        <c:v>211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14F-4492-8A00-A2776F7FF23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Statistics'!$E$32:$G$32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441</c:v>
                      </c:pt>
                      <c:pt idx="1">
                        <c:v>388</c:v>
                      </c:pt>
                      <c:pt idx="2">
                        <c:v>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14F-4492-8A00-A2776F7FF23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Statistics'!$E$33:$G$33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221</c:v>
                      </c:pt>
                      <c:pt idx="1">
                        <c:v>20</c:v>
                      </c:pt>
                      <c:pt idx="2">
                        <c:v>195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14F-4492-8A00-A2776F7FF23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Statistics'!$E$34:$G$34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0.94038748137108796</c:v>
                      </c:pt>
                      <c:pt idx="1">
                        <c:v>1</c:v>
                      </c:pt>
                      <c:pt idx="2">
                        <c:v>0.84399999999999997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14F-4492-8A00-A2776F7FF23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Statistics'!$E$35:$G$35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0.65722801788375562</c:v>
                      </c:pt>
                      <c:pt idx="1">
                        <c:v>0.94174757281553401</c:v>
                      </c:pt>
                      <c:pt idx="2">
                        <c:v>0.2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14F-4492-8A00-A2776F7FF23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Statistics'!$E$36:$G$36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0.3293591654247392</c:v>
                      </c:pt>
                      <c:pt idx="1">
                        <c:v>4.8543689320388349E-2</c:v>
                      </c:pt>
                      <c:pt idx="2">
                        <c:v>0.78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14F-4492-8A00-A2776F7FF23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Statistics'!$E$24:$G$24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41.89865871833085</c:v>
                      </c:pt>
                      <c:pt idx="1">
                        <c:v>63.092233009708735</c:v>
                      </c:pt>
                      <c:pt idx="2">
                        <c:v>7.7880000000000003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14F-4492-8A00-A2776F7FF23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Statistics'!$E$25:$G$25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23</c:v>
                      </c:pt>
                      <c:pt idx="1">
                        <c:v>41</c:v>
                      </c:pt>
                      <c:pt idx="2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14F-4492-8A00-A2776F7FF23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Statistics'!$E$26:$G$26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65.501380615850252</c:v>
                      </c:pt>
                      <c:pt idx="1">
                        <c:v>75.089307590569405</c:v>
                      </c:pt>
                      <c:pt idx="2">
                        <c:v>15.976453173342323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14F-4492-8A00-A2776F7FF23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Statistics'!$E$27:$G$27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</c:v>
                      </c:pt>
                      <c:pt idx="1">
                        <c:v>23</c:v>
                      </c:pt>
                      <c:pt idx="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14F-4492-8A00-A2776F7FF237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Statistics'!$E$28:$G$28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54</c:v>
                      </c:pt>
                      <c:pt idx="1">
                        <c:v>72.75</c:v>
                      </c:pt>
                      <c:pt idx="2">
                        <c:v>8.25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14F-4492-8A00-A2776F7FF237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Statistics'!$E$29:$G$29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48</c:v>
                      </c:pt>
                      <c:pt idx="1">
                        <c:v>49.75</c:v>
                      </c:pt>
                      <c:pt idx="2">
                        <c:v>7.25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14F-4492-8A00-A2776F7FF237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</a:t>
            </a:r>
            <a:r>
              <a:rPr lang="en-US" baseline="0"/>
              <a:t> Pick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'Descriptive Statistics'!$J$8</c:f>
              <c:strCache>
                <c:ptCount val="1"/>
                <c:pt idx="0">
                  <c:v> TRUE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Statistics'!$K$8:$N$8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66</c:v>
                </c:pt>
                <c:pt idx="3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7-40D3-AC91-D4B3C4C22A72}"/>
            </c:ext>
          </c:extLst>
        </c:ser>
        <c:ser>
          <c:idx val="2"/>
          <c:order val="2"/>
          <c:tx>
            <c:strRef>
              <c:f>'Descriptive Statistics'!$J$9</c:f>
              <c:strCache>
                <c:ptCount val="1"/>
                <c:pt idx="0">
                  <c:v> FALSE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Statistics'!$K$9:$N$9</c:f>
              <c:numCache>
                <c:formatCode>General</c:formatCode>
                <c:ptCount val="4"/>
                <c:pt idx="0">
                  <c:v>49</c:v>
                </c:pt>
                <c:pt idx="1">
                  <c:v>345</c:v>
                </c:pt>
                <c:pt idx="2">
                  <c:v>1464</c:v>
                </c:pt>
                <c:pt idx="3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27-40D3-AC91-D4B3C4C2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6745248"/>
        <c:axId val="816745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'Descriptive Statistics'!$J$7</c15:sqref>
                        </c15:formulaRef>
                      </c:ext>
                    </c:extLst>
                    <c:strCache>
                      <c:ptCount val="1"/>
                      <c:pt idx="0">
                        <c:v> staff_pick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'Descriptive Statistics'!$K$7:$N$7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50</c:v>
                      </c:pt>
                      <c:pt idx="1">
                        <c:v>349</c:v>
                      </c:pt>
                      <c:pt idx="2">
                        <c:v>1530</c:v>
                      </c:pt>
                      <c:pt idx="3">
                        <c:v>2185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B27-40D3-AC91-D4B3C4C22A72}"/>
                  </c:ext>
                </c:extLst>
              </c15:ser>
            </c15:filteredBarSeries>
          </c:ext>
        </c:extLst>
      </c:barChart>
      <c:catAx>
        <c:axId val="8167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5664"/>
        <c:crosses val="autoZero"/>
        <c:auto val="1"/>
        <c:lblAlgn val="ctr"/>
        <c:lblOffset val="100"/>
        <c:noMultiLvlLbl val="0"/>
      </c:catAx>
      <c:valAx>
        <c:axId val="8167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Spotlight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'Descriptive Statistics'!$J$11</c:f>
              <c:strCache>
                <c:ptCount val="1"/>
                <c:pt idx="0">
                  <c:v> TRUE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Statistics'!$K$11:$N$11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6B-4310-8604-A58071DED115}"/>
            </c:ext>
          </c:extLst>
        </c:ser>
        <c:ser>
          <c:idx val="5"/>
          <c:order val="5"/>
          <c:tx>
            <c:strRef>
              <c:f>'Descriptive Statistics'!$J$12</c:f>
              <c:strCache>
                <c:ptCount val="1"/>
                <c:pt idx="0">
                  <c:v> FALSE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Statistics'!$K$12:$N$12</c:f>
              <c:numCache>
                <c:formatCode>General</c:formatCode>
                <c:ptCount val="4"/>
                <c:pt idx="0">
                  <c:v>50</c:v>
                </c:pt>
                <c:pt idx="1">
                  <c:v>349</c:v>
                </c:pt>
                <c:pt idx="2">
                  <c:v>1530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6B-4310-8604-A58071DED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6742752"/>
        <c:axId val="8167481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'Descriptive Statistics'!$J$7</c15:sqref>
                        </c15:formulaRef>
                      </c:ext>
                    </c:extLst>
                    <c:strCache>
                      <c:ptCount val="1"/>
                      <c:pt idx="0">
                        <c:v> staff_pick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'Descriptive Statistics'!$K$7:$N$7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50</c:v>
                      </c:pt>
                      <c:pt idx="1">
                        <c:v>349</c:v>
                      </c:pt>
                      <c:pt idx="2">
                        <c:v>1530</c:v>
                      </c:pt>
                      <c:pt idx="3">
                        <c:v>2185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26B-4310-8604-A58071DED11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Statistics'!$J$8</c15:sqref>
                        </c15:formulaRef>
                      </c:ext>
                    </c:extLst>
                    <c:strCache>
                      <c:ptCount val="1"/>
                      <c:pt idx="0">
                        <c:v> TRUE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Statistics'!$K$8:$N$8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4</c:v>
                      </c:pt>
                      <c:pt idx="2">
                        <c:v>66</c:v>
                      </c:pt>
                      <c:pt idx="3">
                        <c:v>486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26B-4310-8604-A58071DED11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Statistics'!$J$9</c15:sqref>
                        </c15:formulaRef>
                      </c:ext>
                    </c:extLst>
                    <c:strCache>
                      <c:ptCount val="1"/>
                      <c:pt idx="0">
                        <c:v> FALSE 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Statistics'!$K$9:$N$9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49</c:v>
                      </c:pt>
                      <c:pt idx="1">
                        <c:v>345</c:v>
                      </c:pt>
                      <c:pt idx="2">
                        <c:v>1464</c:v>
                      </c:pt>
                      <c:pt idx="3">
                        <c:v>1699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6B-4310-8604-A58071DED11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Statistics'!$J$10</c15:sqref>
                        </c15:formulaRef>
                      </c:ext>
                    </c:extLst>
                    <c:strCache>
                      <c:ptCount val="1"/>
                      <c:pt idx="0">
                        <c:v> spotlight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Statistics'!$K$10:$N$10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50</c:v>
                      </c:pt>
                      <c:pt idx="1">
                        <c:v>349</c:v>
                      </c:pt>
                      <c:pt idx="2">
                        <c:v>1530</c:v>
                      </c:pt>
                      <c:pt idx="3">
                        <c:v>2185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6B-4310-8604-A58071DED115}"/>
                  </c:ext>
                </c:extLst>
              </c15:ser>
            </c15:filteredBarSeries>
          </c:ext>
        </c:extLst>
      </c:barChart>
      <c:catAx>
        <c:axId val="8167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8160"/>
        <c:crosses val="autoZero"/>
        <c:auto val="1"/>
        <c:lblAlgn val="ctr"/>
        <c:lblOffset val="100"/>
        <c:noMultiLvlLbl val="0"/>
      </c:catAx>
      <c:valAx>
        <c:axId val="8167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8046857278346012"/>
          <c:y val="6.9957033900347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407A-B366-1449AC7AD1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407A-B366-1449AC7AD1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407A-B366-1449AC7AD11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6-4D3F-A545-093C27BB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917488"/>
        <c:axId val="583917816"/>
      </c:lineChart>
      <c:catAx>
        <c:axId val="5839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7816"/>
        <c:crosses val="autoZero"/>
        <c:auto val="1"/>
        <c:lblAlgn val="ctr"/>
        <c:lblOffset val="100"/>
        <c:noMultiLvlLbl val="0"/>
      </c:catAx>
      <c:valAx>
        <c:axId val="58391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and up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2-479B-83A6-604AAC6C2B8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and up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C2-479B-83A6-604AAC6C2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960704"/>
        <c:axId val="726955128"/>
      </c:lineChart>
      <c:catAx>
        <c:axId val="7269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128"/>
        <c:crosses val="autoZero"/>
        <c:auto val="1"/>
        <c:lblAlgn val="ctr"/>
        <c:lblOffset val="100"/>
        <c:noMultiLvlLbl val="0"/>
      </c:catAx>
      <c:valAx>
        <c:axId val="72695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1-4203-84C7-695A14B67F6D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D1-4203-84C7-695A14B67F6D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D1-4203-84C7-695A14B67F6D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C-406D-97E7-962C40B27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633112"/>
        <c:axId val="534631144"/>
      </c:lineChart>
      <c:catAx>
        <c:axId val="5346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31144"/>
        <c:crosses val="autoZero"/>
        <c:auto val="1"/>
        <c:lblAlgn val="ctr"/>
        <c:lblOffset val="100"/>
        <c:noMultiLvlLbl val="0"/>
      </c:catAx>
      <c:valAx>
        <c:axId val="5346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1428751</xdr:colOff>
      <xdr:row>2</xdr:row>
      <xdr:rowOff>3810</xdr:rowOff>
    </xdr:from>
    <xdr:to>
      <xdr:col>18</xdr:col>
      <xdr:colOff>234951</xdr:colOff>
      <xdr:row>21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DC8CE-4033-45BC-1E47-7861BC5D5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7</xdr:row>
      <xdr:rowOff>55419</xdr:rowOff>
    </xdr:from>
    <xdr:to>
      <xdr:col>17</xdr:col>
      <xdr:colOff>205740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26579-9505-B084-D97E-4334030C0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62</xdr:row>
      <xdr:rowOff>25401</xdr:rowOff>
    </xdr:from>
    <xdr:to>
      <xdr:col>7</xdr:col>
      <xdr:colOff>513080</xdr:colOff>
      <xdr:row>85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DB6BC-CEF1-1D44-9D5E-0C3E017DE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101599</xdr:colOff>
      <xdr:row>62</xdr:row>
      <xdr:rowOff>16933</xdr:rowOff>
    </xdr:from>
    <xdr:to>
      <xdr:col>13</xdr:col>
      <xdr:colOff>233680</xdr:colOff>
      <xdr:row>85</xdr:row>
      <xdr:rowOff>166792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F5F4C-467A-416E-8167-FD2067E5F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33866</xdr:colOff>
      <xdr:row>36</xdr:row>
      <xdr:rowOff>143934</xdr:rowOff>
    </xdr:from>
    <xdr:to>
      <xdr:col>7</xdr:col>
      <xdr:colOff>521546</xdr:colOff>
      <xdr:row>60</xdr:row>
      <xdr:rowOff>107526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E76442-A6C5-4A1A-8772-598AF3EF2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110065</xdr:colOff>
      <xdr:row>36</xdr:row>
      <xdr:rowOff>135466</xdr:rowOff>
    </xdr:from>
    <xdr:to>
      <xdr:col>13</xdr:col>
      <xdr:colOff>242146</xdr:colOff>
      <xdr:row>60</xdr:row>
      <xdr:rowOff>99058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EB5377-2220-4DFB-8D39-145DF5530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45720</xdr:colOff>
      <xdr:row>4</xdr:row>
      <xdr:rowOff>152400</xdr:rowOff>
    </xdr:from>
    <xdr:to>
      <xdr:col>22</xdr:col>
      <xdr:colOff>350520</xdr:colOff>
      <xdr:row>19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89D62E-B569-0973-AFC3-CE1CC2C9C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381000</xdr:colOff>
      <xdr:row>21</xdr:row>
      <xdr:rowOff>175260</xdr:rowOff>
    </xdr:from>
    <xdr:to>
      <xdr:col>22</xdr:col>
      <xdr:colOff>76200</xdr:colOff>
      <xdr:row>36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AC81EB-0A65-7DD8-7336-359ADC8B3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541607</xdr:colOff>
      <xdr:row>3</xdr:row>
      <xdr:rowOff>879</xdr:rowOff>
    </xdr:from>
    <xdr:to>
      <xdr:col>19</xdr:col>
      <xdr:colOff>246063</xdr:colOff>
      <xdr:row>18</xdr:row>
      <xdr:rowOff>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45EA6-A3DC-40C3-9FF7-FC0A34EAA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103414</xdr:colOff>
      <xdr:row>19</xdr:row>
      <xdr:rowOff>38701</xdr:rowOff>
    </xdr:from>
    <xdr:to>
      <xdr:col>8</xdr:col>
      <xdr:colOff>1240589</xdr:colOff>
      <xdr:row>34</xdr:row>
      <xdr:rowOff>38701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EFC9B-C1C0-B84A-4424-5410CF5D8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430712</xdr:colOff>
      <xdr:row>1</xdr:row>
      <xdr:rowOff>183061</xdr:rowOff>
    </xdr:from>
    <xdr:to>
      <xdr:col>21</xdr:col>
      <xdr:colOff>463732</xdr:colOff>
      <xdr:row>23</xdr:row>
      <xdr:rowOff>72934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CDD68-5915-C43A-ACFA-8AC1103AB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0.792967013891" createdVersion="8" refreshedVersion="8" minRefreshableVersion="3" recordCount="4114" xr:uid="{97CA62F7-469C-4A81-953D-A83E3228B6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1.735649884256" createdVersion="8" refreshedVersion="8" minRefreshableVersion="3" recordCount="4114" xr:uid="{62411246-17B6-4293-A41F-3D28F14824E5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6.738767361108" createdVersion="8" refreshedVersion="8" minRefreshableVersion="3" recordCount="4114" xr:uid="{B06D9751-99B2-4250-9037-1352DE1F6794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minValue="1.07" maxValue="90" count="1165">
        <n v="31.12"/>
        <n v="30"/>
        <n v="10"/>
        <n v="16.3"/>
        <n v="40"/>
        <n v="6.93"/>
        <n v="35"/>
        <n v="31.35"/>
        <n v="44.41"/>
        <n v="36.17"/>
        <n v="25.56"/>
        <n v="18.45"/>
        <n v="45.43"/>
        <n v="30.04"/>
        <n v="60"/>
        <n v="15.42"/>
        <n v="26.86"/>
        <n v="33"/>
        <n v="18"/>
        <n v="41.54"/>
        <n v="15"/>
        <n v="23.71"/>
        <n v="29.96"/>
        <n v="30.91"/>
        <n v="19.95"/>
        <n v="30.21"/>
        <n v="45"/>
        <n v="60.04"/>
        <n v="30.98"/>
        <n v="38.96"/>
        <n v="14.37"/>
        <n v="21"/>
        <n v="14.12"/>
        <n v="31.64"/>
        <n v="19.100000000000001"/>
        <n v="22"/>
        <n v="25"/>
        <n v="23.3"/>
        <n v="26.43"/>
        <n v="32.1"/>
        <n v="19.989999999999998"/>
        <n v="78.41"/>
        <n v="52.98"/>
        <n v="3.97"/>
        <n v="14.86"/>
        <n v="74.040000000000006"/>
        <n v="9.5299999999999994"/>
        <n v="26"/>
        <n v="61"/>
        <n v="46.13"/>
        <n v="28.02"/>
        <n v="20"/>
        <n v="66.459999999999994"/>
        <n v="36.18"/>
        <n v="20.04"/>
        <n v="24"/>
        <n v="23"/>
        <n v="23.35"/>
        <n v="18.28"/>
        <n v="14"/>
        <n v="34.299999999999997"/>
        <n v="24.04"/>
        <n v="7.87"/>
        <n v="45.96"/>
        <n v="89.96"/>
        <n v="29.89"/>
        <n v="15.72"/>
        <n v="36.130000000000003"/>
        <n v="30.49"/>
        <n v="27.93"/>
        <n v="15.16"/>
        <n v="45.04"/>
        <n v="29.92"/>
        <n v="29.8"/>
        <n v="33.409999999999997"/>
        <n v="44.02"/>
        <n v="50"/>
        <n v="30.95"/>
        <n v="21.04"/>
        <n v="57.18"/>
        <n v="59.96"/>
        <n v="27"/>
        <n v="42.99"/>
        <n v="30.16"/>
        <n v="42.04"/>
        <n v="43"/>
        <n v="32.86"/>
        <n v="34.04"/>
        <n v="29.25"/>
        <n v="34.96"/>
        <n v="16.96"/>
        <n v="39.799999999999997"/>
        <n v="57.37"/>
        <n v="30.02"/>
        <n v="24.06"/>
        <n v="28.33"/>
        <n v="42.03"/>
        <n v="29.95"/>
        <n v="29.14"/>
        <n v="29.99"/>
        <n v="42.77"/>
        <n v="49.96"/>
        <n v="31"/>
        <n v="31.96"/>
        <n v="41.19"/>
        <n v="58.34"/>
        <n v="48.73"/>
        <n v="52.92"/>
        <n v="20.41"/>
        <n v="19.39"/>
        <n v="39.97"/>
        <n v="50.04"/>
        <n v="36.549999999999997"/>
        <n v="79.81"/>
        <n v="32"/>
        <n v="63.5"/>
        <n v="30.13"/>
        <n v="45.66"/>
        <n v="49.74"/>
        <n v="41.6"/>
        <n v="85.99"/>
        <n v="50.3"/>
        <n v="29.23"/>
        <n v="60.88"/>
        <n v="34.380000000000003"/>
        <n v="33.840000000000003"/>
        <n v="85.65"/>
        <n v="37"/>
        <n v="19.5"/>
        <n v="44.96"/>
        <n v="30.89"/>
        <n v="18.23"/>
        <n v="32.36"/>
        <n v="35.58"/>
        <n v="35.44"/>
        <n v="59.41"/>
        <n v="39.96"/>
        <n v="38.99"/>
        <n v="19.96"/>
        <n v="14.9"/>
        <n v="41.11"/>
        <n v="44.44"/>
        <n v="33.28"/>
        <n v="87.49"/>
        <n v="29.41"/>
        <n v="35.04"/>
        <n v="28.01"/>
        <n v="33.64"/>
        <n v="27.1"/>
        <n v="30.22"/>
        <n v="23.7"/>
        <n v="31.65"/>
        <n v="41.65"/>
        <n v="38.11"/>
        <n v="31.18"/>
        <n v="56.29"/>
        <n v="18.29"/>
        <n v="30.39"/>
        <n v="44.13"/>
        <n v="38.1"/>
        <n v="31.04"/>
        <n v="28.76"/>
        <n v="22.15"/>
        <n v="44.23"/>
        <n v="21.79"/>
        <n v="45.06"/>
        <n v="30.31"/>
        <n v="39.630000000000003"/>
        <n v="40.090000000000003"/>
        <n v="41.74"/>
        <n v="24.42"/>
        <n v="34.51"/>
        <n v="30.57"/>
        <n v="31.89"/>
        <n v="30.41"/>
        <n v="35.99"/>
        <n v="42.38"/>
        <n v="30.62"/>
        <n v="30.51"/>
        <n v="46.99"/>
        <n v="29.33"/>
        <n v="34.090000000000003"/>
        <n v="40.04"/>
        <n v="32.03"/>
        <n v="16"/>
        <n v="24.65"/>
        <n v="11.22"/>
        <n v="13.88"/>
        <n v="28.15"/>
        <n v="73.31"/>
        <n v="33.04"/>
        <n v="24.96"/>
        <n v="30.83"/>
        <n v="45.02"/>
        <n v="21.47"/>
        <n v="31.62"/>
        <n v="59.99"/>
        <n v="35.19"/>
        <n v="26.71"/>
        <n v="41.04"/>
        <n v="23.29"/>
        <n v="53.17"/>
        <n v="42"/>
        <n v="54.98"/>
        <n v="59.04"/>
        <n v="59.57"/>
        <n v="44.64"/>
        <n v="29.11"/>
        <n v="30.46"/>
        <n v="20.97"/>
        <n v="21.18"/>
        <n v="21.49"/>
        <n v="45.23"/>
        <n v="39.15"/>
        <n v="40.409999999999997"/>
        <n v="12.53"/>
        <n v="44.47"/>
        <n v="36.54"/>
        <n v="19.350000000000001"/>
        <n v="59"/>
        <n v="23.01"/>
        <n v="55.61"/>
        <n v="30.99"/>
        <n v="36.96"/>
        <n v="23.82"/>
        <n v="45.97"/>
        <n v="30.71"/>
        <n v="59.65"/>
        <n v="29.6"/>
        <n v="29"/>
        <n v="31.66"/>
        <n v="15.54"/>
        <n v="36"/>
        <n v="55"/>
        <n v="32.590000000000003"/>
        <n v="33.630000000000003"/>
        <n v="33.47"/>
        <n v="29.36"/>
        <n v="35.65"/>
        <n v="42.62"/>
        <n v="28"/>
        <n v="33.15"/>
        <n v="37.18"/>
        <n v="55.03"/>
        <n v="41.78"/>
        <n v="33.049999999999997"/>
        <n v="33.340000000000003"/>
        <n v="31.4"/>
        <n v="30.35"/>
        <n v="41.87"/>
        <n v="50.45"/>
        <n v="19.47"/>
        <n v="17.559999999999999"/>
        <n v="30.6"/>
        <n v="25.17"/>
        <n v="18.12"/>
        <n v="46"/>
        <n v="30.42"/>
        <n v="60.96"/>
        <n v="17.39"/>
        <n v="50.11"/>
        <n v="34.22"/>
        <n v="37.520000000000003"/>
        <n v="29.48"/>
        <n v="39.14"/>
        <n v="57.6"/>
        <n v="38.159999999999997"/>
        <n v="18.149999999999999"/>
        <n v="15.47"/>
        <n v="55.6"/>
        <n v="42.59"/>
        <n v="31.17"/>
        <n v="46.15"/>
        <n v="26.09"/>
        <n v="17.059999999999999"/>
        <n v="50.14"/>
        <n v="35.450000000000003"/>
        <n v="33.11"/>
        <n v="22.06"/>
        <n v="52.56"/>
        <n v="15.01"/>
        <n v="53.61"/>
        <n v="7.83"/>
        <n v="9.1999999999999993"/>
        <n v="30.37"/>
        <n v="34.25"/>
        <n v="36.049999999999997"/>
        <n v="20.96"/>
        <n v="26.35"/>
        <n v="12.63"/>
        <n v="59.67"/>
        <n v="42.67"/>
        <n v="34.57"/>
        <n v="17.079999999999998"/>
        <n v="38.520000000000003"/>
        <n v="14.19"/>
        <n v="27.96"/>
        <n v="32.380000000000003"/>
        <n v="59.94"/>
        <n v="11.07"/>
        <n v="59.48"/>
        <n v="30.18"/>
        <n v="22.31"/>
        <n v="37.99"/>
        <n v="60.1"/>
        <n v="59.3"/>
        <n v="35.5"/>
        <n v="86.97"/>
        <n v="25.29"/>
        <n v="45.99"/>
        <n v="51.68"/>
        <n v="25.3"/>
        <n v="45.41"/>
        <n v="31.48"/>
        <n v="31.53"/>
        <n v="38.35"/>
        <n v="31.16"/>
        <n v="41.98"/>
        <n v="34.56"/>
        <n v="29.51"/>
        <n v="43.81"/>
        <n v="39.07"/>
        <n v="34"/>
        <n v="52.13"/>
        <n v="21.4"/>
        <n v="41.96"/>
        <n v="46.1"/>
        <n v="38"/>
        <n v="32.15"/>
        <n v="36.99"/>
        <n v="29.43"/>
        <n v="35.369999999999997"/>
        <n v="31.2"/>
        <n v="54.23"/>
        <n v="25.03"/>
        <n v="33.24"/>
        <n v="52.69"/>
        <n v="24.73"/>
        <n v="29.78"/>
        <n v="29.57"/>
        <n v="8.26"/>
        <n v="22.91"/>
        <n v="33.96"/>
        <n v="45.21"/>
        <n v="54.2"/>
        <n v="31.88"/>
        <n v="22.39"/>
        <n v="25.22"/>
        <n v="42.72"/>
        <n v="56.93"/>
        <n v="44.04"/>
        <n v="30.06"/>
        <n v="41.1"/>
        <n v="59.76"/>
        <n v="7"/>
        <n v="32.04"/>
        <n v="30.63"/>
        <n v="26.99"/>
        <n v="40.200000000000003"/>
        <n v="59.59"/>
        <n v="13"/>
        <n v="13.9"/>
        <n v="30.93"/>
        <n v="30.68"/>
        <n v="18.04"/>
        <n v="54.52"/>
        <n v="18.87"/>
        <n v="19.3"/>
        <n v="32.299999999999997"/>
        <n v="33.08"/>
        <n v="31.86"/>
        <n v="60.03"/>
        <n v="30.58"/>
        <n v="35.51"/>
        <n v="44.46"/>
        <n v="32.79"/>
        <n v="22.93"/>
        <n v="16.09"/>
        <n v="32.340000000000003"/>
        <n v="27.52"/>
        <n v="30.45"/>
        <n v="34.17"/>
        <n v="50.1"/>
        <n v="47"/>
        <n v="7.99"/>
        <n v="58.87"/>
        <n v="22.41"/>
        <n v="15.39"/>
        <n v="31.05"/>
        <n v="35.630000000000003"/>
        <n v="56.59"/>
        <n v="48.96"/>
        <n v="32.200000000000003"/>
        <n v="69.42"/>
        <n v="49.46"/>
        <n v="28.53"/>
        <n v="90"/>
        <n v="30.73"/>
        <n v="23.45"/>
        <n v="23.47"/>
        <n v="13.2"/>
        <n v="31.01"/>
        <n v="36.64"/>
        <n v="27.19"/>
        <n v="30.14"/>
        <n v="39.11"/>
        <n v="10.38"/>
        <n v="16.02"/>
        <n v="29.06"/>
        <n v="35.54"/>
        <n v="52.35"/>
        <n v="14.85"/>
        <n v="29.27"/>
        <n v="34.590000000000003"/>
        <n v="58.64"/>
        <n v="51.59"/>
        <n v="34.880000000000003"/>
        <n v="29.29"/>
        <n v="62"/>
        <n v="18.489999999999998"/>
        <n v="21.95"/>
        <n v="22.32"/>
        <n v="55.82"/>
        <n v="31.27"/>
        <n v="26.06"/>
        <n v="33.909999999999997"/>
        <n v="44.56"/>
        <n v="42.98"/>
        <n v="29.97"/>
        <n v="34.89"/>
        <n v="30.32"/>
        <n v="13.04"/>
        <n v="40.83"/>
        <n v="20.86"/>
        <n v="36.68"/>
        <n v="29.71"/>
        <n v="30.29"/>
        <n v="48"/>
        <n v="21.05"/>
        <n v="54.9"/>
        <n v="28.52"/>
        <n v="58.09"/>
        <n v="33.35"/>
        <n v="32.479999999999997"/>
        <n v="59.51"/>
        <n v="14.42"/>
        <n v="16.77"/>
        <n v="22.47"/>
        <n v="58.42"/>
        <n v="58.94"/>
        <n v="29.93"/>
        <n v="42.18"/>
        <n v="28.37"/>
        <n v="27.7"/>
        <n v="37.39"/>
        <n v="58.89"/>
        <n v="29.42"/>
        <n v="30.12"/>
        <n v="28.17"/>
        <n v="36.31"/>
        <n v="31.25"/>
        <n v="49"/>
        <n v="30.27"/>
        <n v="32.32"/>
        <n v="24.15"/>
        <n v="49.16"/>
        <n v="29.09"/>
        <n v="36.43"/>
        <n v="20.48"/>
        <n v="23.09"/>
        <n v="59.11"/>
        <n v="69.47"/>
        <n v="31.47"/>
        <n v="15.06"/>
        <n v="24.97"/>
        <n v="40.17"/>
        <n v="24.02"/>
        <n v="57.1"/>
        <n v="21.56"/>
        <n v="30.59"/>
        <n v="59.97"/>
        <n v="28.79"/>
        <n v="44.16"/>
        <n v="42.66"/>
        <n v="9.2799999999999994"/>
        <n v="32.4"/>
        <n v="53.33"/>
        <n v="59.73"/>
        <n v="41.2"/>
        <n v="33.130000000000003"/>
        <n v="53.56"/>
        <n v="33.5"/>
        <n v="27.32"/>
        <n v="38.06"/>
        <n v="43.08"/>
        <n v="56.23"/>
        <n v="13.85"/>
        <n v="32.31"/>
        <n v="33.39"/>
        <n v="38.380000000000003"/>
        <n v="28.59"/>
        <n v="31.22"/>
        <n v="42.88"/>
        <n v="44.4"/>
        <n v="27.22"/>
        <n v="50.24"/>
        <n v="30.69"/>
        <n v="30.19"/>
        <n v="46.44"/>
        <n v="59.84"/>
        <n v="33.799999999999997"/>
        <n v="32.85"/>
        <n v="29.52"/>
        <n v="34.01"/>
        <n v="23.94"/>
        <n v="30.1"/>
        <n v="11.65"/>
        <n v="41.25"/>
        <n v="45.95"/>
        <n v="20.18"/>
        <n v="43.6"/>
        <n v="37.049999999999997"/>
        <n v="56.42"/>
        <n v="54.53"/>
        <n v="13.72"/>
        <n v="59.52"/>
        <n v="12.22"/>
        <n v="58.96"/>
        <n v="22.24"/>
        <n v="35.82"/>
        <n v="29.91"/>
        <n v="29.19"/>
        <n v="36.82"/>
        <n v="29.98"/>
        <n v="42.41"/>
        <n v="31.49"/>
        <n v="30.87"/>
        <n v="37.26"/>
        <n v="29.38"/>
        <n v="31.85"/>
        <n v="23.44"/>
        <n v="31.95"/>
        <n v="12"/>
        <n v="27.92"/>
        <n v="59.63"/>
        <n v="20.170000000000002"/>
        <n v="32.020000000000003"/>
        <n v="48.83"/>
        <n v="32.29"/>
        <n v="17"/>
        <n v="28.34"/>
        <n v="19.11"/>
        <n v="33.36"/>
        <n v="33.619999999999997"/>
        <n v="38.15"/>
        <n v="14.87"/>
        <n v="20.13"/>
        <n v="37.229999999999997"/>
        <n v="46.82"/>
        <n v="24.55"/>
        <n v="28.82"/>
        <n v="29.08"/>
        <n v="28.96"/>
        <n v="35.299999999999997"/>
        <n v="32.82"/>
        <n v="18.100000000000001"/>
        <n v="30.97"/>
        <n v="45.45"/>
        <n v="16.22"/>
        <n v="22.29"/>
        <n v="35.56"/>
        <n v="27.54"/>
        <n v="43.98"/>
        <n v="14.99"/>
        <n v="25.04"/>
        <n v="28.08"/>
        <n v="40.36"/>
        <n v="28.05"/>
        <n v="22.1"/>
        <n v="27.06"/>
        <n v="15.35"/>
        <n v="13.25"/>
        <n v="36.340000000000003"/>
        <n v="37.28"/>
        <n v="30.36"/>
        <n v="16.05"/>
        <n v="38.659999999999997"/>
        <n v="37.33"/>
        <n v="54.11"/>
        <n v="28.93"/>
        <n v="46.63"/>
        <n v="32.520000000000003"/>
        <n v="41.15"/>
        <n v="31.67"/>
        <n v="38.57"/>
        <n v="46.12"/>
        <n v="33.07"/>
        <n v="36.75"/>
        <n v="22.28"/>
        <n v="29.26"/>
        <n v="14.83"/>
        <n v="27.35"/>
        <n v="66.33"/>
        <n v="44"/>
        <n v="36.04"/>
        <n v="33.6"/>
        <n v="31.11"/>
        <n v="36.86"/>
        <n v="34.159999999999997"/>
        <n v="37.71"/>
        <n v="29.64"/>
        <n v="55.16"/>
        <n v="45.42"/>
        <n v="29.77"/>
        <n v="15.04"/>
        <n v="54.03"/>
        <n v="29.1"/>
        <n v="35.43"/>
        <n v="29.49"/>
        <n v="39.46"/>
        <n v="39.31"/>
        <n v="36.14"/>
        <n v="57.83"/>
        <n v="30.08"/>
        <n v="41.05"/>
        <n v="31.46"/>
        <n v="30.54"/>
        <n v="36.450000000000003"/>
        <n v="48.51"/>
        <n v="34.1"/>
        <n v="15.41"/>
        <n v="13.41"/>
        <n v="15.33"/>
        <n v="12.38"/>
        <n v="66.84"/>
        <n v="62.39"/>
        <n v="14.15"/>
        <n v="53.87"/>
        <n v="48.18"/>
        <n v="38.19"/>
        <n v="47.9"/>
        <n v="34.979999999999997"/>
        <n v="39.42"/>
        <n v="32.35"/>
        <n v="51.26"/>
        <n v="30.61"/>
        <n v="3"/>
        <n v="35.25"/>
        <n v="29.84"/>
        <n v="13.98"/>
        <n v="36.47"/>
        <n v="35.119999999999997"/>
        <n v="14.13"/>
        <n v="34.67"/>
        <n v="28.11"/>
        <n v="30.8"/>
        <n v="27.5"/>
        <n v="59.28"/>
        <n v="11.48"/>
        <n v="57.67"/>
        <n v="22.51"/>
        <n v="33.29"/>
        <n v="22.57"/>
        <n v="10.56"/>
        <n v="22.19"/>
        <n v="30.33"/>
        <n v="28.12"/>
        <n v="26.3"/>
        <n v="32.33"/>
        <n v="20.62"/>
        <n v="40.33"/>
        <n v="36.21"/>
        <n v="35.549999999999997"/>
        <n v="6.37"/>
        <n v="12.04"/>
        <n v="35.020000000000003"/>
        <n v="34.409999999999997"/>
        <n v="16.54"/>
        <n v="17.21"/>
        <n v="25.21"/>
        <n v="24.5"/>
        <n v="20.05"/>
        <n v="18.36"/>
        <n v="28.2"/>
        <n v="18.920000000000002"/>
        <n v="78.45"/>
        <n v="34.19"/>
        <n v="25.46"/>
        <n v="34.119999999999997"/>
        <n v="33.42"/>
        <n v="41.39"/>
        <n v="25.05"/>
        <n v="31.33"/>
        <n v="77.040000000000006"/>
        <n v="31.52"/>
        <n v="51.67"/>
        <n v="21.09"/>
        <n v="30.53"/>
        <n v="20.51"/>
        <n v="56.1"/>
        <n v="40.22"/>
        <n v="31.26"/>
        <n v="28.25"/>
        <n v="22.67"/>
        <n v="39.47"/>
        <n v="57.89"/>
        <n v="48.78"/>
        <n v="21.08"/>
        <n v="31.7"/>
        <n v="5.92"/>
        <n v="34.92"/>
        <n v="33.99"/>
        <n v="39.68"/>
        <n v="28.91"/>
        <n v="13.83"/>
        <n v="70.930000000000007"/>
        <n v="10.36"/>
        <n v="16.239999999999998"/>
        <n v="51.43"/>
        <n v="48.1"/>
        <n v="22.58"/>
        <n v="55.96"/>
        <n v="46.21"/>
        <n v="22.05"/>
        <n v="18.41"/>
        <n v="18.62"/>
        <n v="22.49"/>
        <n v="51.55"/>
        <n v="30.7"/>
        <n v="38.74"/>
        <n v="31.02"/>
        <n v="24.56"/>
        <n v="34.950000000000003"/>
        <n v="56.53"/>
        <n v="28.61"/>
        <n v="31.09"/>
        <n v="31.72"/>
        <n v="32.94"/>
        <n v="59.22"/>
        <n v="48.69"/>
        <n v="51.88"/>
        <n v="14.26"/>
        <n v="40.14"/>
        <n v="43.21"/>
        <n v="39.409999999999997"/>
        <n v="28.5"/>
        <n v="26.57"/>
        <n v="36.869999999999997"/>
        <n v="27.31"/>
        <n v="22.43"/>
        <n v="17.010000000000002"/>
        <n v="35.75"/>
        <n v="31.51"/>
        <n v="27.97"/>
        <n v="39.1"/>
        <n v="34.270000000000003"/>
        <n v="37.11"/>
        <n v="42.02"/>
        <n v="30.07"/>
        <n v="21.37"/>
        <n v="30.96"/>
        <n v="42.96"/>
        <n v="30.17"/>
        <n v="36.69"/>
        <n v="28.3"/>
        <n v="28.36"/>
        <n v="30.25"/>
        <n v="57.64"/>
        <n v="32.19"/>
        <n v="42.87"/>
        <n v="20.43"/>
        <n v="11.93"/>
        <n v="29.5"/>
        <n v="49.18"/>
        <n v="28.35"/>
        <n v="25.28"/>
        <n v="29.69"/>
        <n v="19.149999999999999"/>
        <n v="16.100000000000001"/>
        <n v="16.43"/>
        <n v="22.22"/>
        <n v="42.93"/>
        <n v="36.19"/>
        <n v="8.11"/>
        <n v="30.2"/>
        <n v="24.39"/>
        <n v="27.95"/>
        <n v="31.8"/>
        <n v="24.26"/>
        <n v="25.69"/>
        <n v="12.33"/>
        <n v="28.21"/>
        <n v="29.3"/>
        <n v="37.950000000000003"/>
        <n v="22.97"/>
        <n v="21.67"/>
        <n v="26.51"/>
        <n v="41.43"/>
        <n v="8.9700000000000006"/>
        <n v="28.97"/>
        <n v="59.86"/>
        <n v="59.83"/>
        <n v="23.93"/>
        <n v="29.94"/>
        <n v="23.97"/>
        <n v="31.75"/>
        <n v="4.53"/>
        <n v="7.67"/>
        <n v="28.38"/>
        <n v="7.16"/>
        <n v="59.31"/>
        <n v="1.32"/>
        <n v="14.34"/>
        <n v="11.53"/>
        <n v="39.56"/>
        <n v="14.97"/>
        <n v="29.61"/>
        <n v="28.54"/>
        <n v="31.29"/>
        <n v="58.12"/>
        <n v="12.56"/>
        <n v="33.229999999999997"/>
        <n v="49.15"/>
        <n v="13.64"/>
        <n v="14.93"/>
        <n v="28.44"/>
        <n v="59.21"/>
        <n v="9.61"/>
        <n v="19.190000000000001"/>
        <n v="28.69"/>
        <n v="17.47"/>
        <n v="27.99"/>
        <n v="13.92"/>
        <n v="27.49"/>
        <n v="15.44"/>
        <n v="27.29"/>
        <n v="28.16"/>
        <n v="28.48"/>
        <n v="35.71"/>
        <n v="74.31"/>
        <n v="26.54"/>
        <n v="4.17"/>
        <n v="27.05"/>
        <n v="29.4"/>
        <n v="43.56"/>
        <n v="28.99"/>
        <n v="51.4"/>
        <n v="37.21"/>
        <n v="29.21"/>
        <n v="17.52"/>
        <n v="14.38"/>
        <n v="31.54"/>
        <n v="37.299999999999997"/>
        <n v="30.26"/>
        <n v="48.22"/>
        <n v="54.49"/>
        <n v="8.18"/>
        <n v="19"/>
        <n v="5.04"/>
        <n v="36.5"/>
        <n v="50.91"/>
        <n v="33.92"/>
        <n v="41.08"/>
        <n v="16.71"/>
        <n v="21.5"/>
        <n v="24.07"/>
        <n v="89.9"/>
        <n v="9.42"/>
        <n v="42.89"/>
        <n v="22.94"/>
        <n v="27.4"/>
        <n v="22.01"/>
        <n v="28.64"/>
        <n v="31.81"/>
        <n v="29.47"/>
        <n v="33.090000000000003"/>
        <n v="26.69"/>
        <n v="26.36"/>
        <n v="55.76"/>
        <n v="44.98"/>
        <n v="30.11"/>
        <n v="58.4"/>
        <n v="47.23"/>
        <n v="31.5"/>
        <n v="37.200000000000003"/>
        <n v="37.5"/>
        <n v="31.14"/>
        <n v="31.31"/>
        <n v="47.36"/>
        <n v="21.32"/>
        <n v="33.19"/>
        <n v="23.69"/>
        <n v="24.91"/>
        <n v="28.26"/>
        <n v="32.97"/>
        <n v="23.9"/>
        <n v="18.579999999999998"/>
        <n v="21.59"/>
        <n v="30.85"/>
        <n v="23.36"/>
        <n v="16.12"/>
        <n v="31.34"/>
        <n v="34.06"/>
        <n v="15.99"/>
        <n v="44.17"/>
        <n v="26.31"/>
        <n v="34.450000000000003"/>
        <n v="31.13"/>
        <n v="17.36"/>
        <n v="21.16"/>
        <n v="37.909999999999997"/>
        <n v="21.11"/>
        <n v="13.8"/>
        <n v="27.57"/>
        <n v="32.71"/>
        <n v="14.07"/>
        <n v="2.4700000000000002"/>
        <n v="10.64"/>
        <n v="27.28"/>
        <n v="32.909999999999997"/>
        <n v="20.64"/>
        <n v="58.92"/>
        <n v="14.32"/>
        <n v="23.61"/>
        <n v="21.6"/>
        <n v="35.26"/>
        <n v="37.06"/>
        <n v="56.97"/>
        <n v="13.53"/>
        <n v="10.85"/>
        <n v="21.58"/>
        <n v="17.64"/>
        <n v="14.11"/>
        <n v="18.899999999999999"/>
        <n v="21.9"/>
        <n v="36.01"/>
        <n v="20.66"/>
        <n v="23.81"/>
        <n v="24.19"/>
        <n v="17.440000000000001"/>
        <n v="24.53"/>
        <n v="37.04"/>
        <n v="29.39"/>
        <n v="25.11"/>
        <n v="14.04"/>
        <n v="26.72"/>
        <n v="40.44"/>
        <n v="22.96"/>
        <n v="20.98"/>
        <n v="27.25"/>
        <n v="9.4700000000000006"/>
        <n v="10.84"/>
        <n v="43.12"/>
        <n v="18.07"/>
        <n v="8.91"/>
        <n v="21.61"/>
        <n v="19.03"/>
        <n v="24.99"/>
        <n v="25.34"/>
        <n v="31.06"/>
        <n v="16.510000000000002"/>
        <n v="21.14"/>
        <n v="25.95"/>
        <n v="13.3"/>
        <n v="22.55"/>
        <n v="27.42"/>
        <n v="8.2899999999999991"/>
        <n v="23.68"/>
        <n v="22.53"/>
        <n v="26.98"/>
        <n v="28.49"/>
        <n v="15.85"/>
        <n v="37.880000000000003"/>
        <n v="41.01"/>
        <n v="21.02"/>
        <n v="27.12"/>
        <n v="17.850000000000001"/>
        <n v="12.39"/>
        <n v="25.96"/>
        <n v="31.42"/>
        <n v="30.24"/>
        <n v="11.04"/>
        <n v="12.17"/>
        <n v="59.75"/>
        <n v="54.25"/>
        <n v="16.29"/>
        <n v="14.33"/>
        <n v="11.23"/>
        <n v="23.15"/>
        <n v="13.35"/>
        <n v="22.9"/>
        <n v="13.11"/>
        <n v="16.36"/>
        <n v="34.11"/>
        <n v="20.81"/>
        <n v="25.75"/>
        <n v="27.63"/>
        <n v="57.56"/>
        <n v="14.4"/>
        <n v="10.97"/>
        <n v="27.91"/>
        <n v="20.28"/>
        <n v="15.57"/>
        <n v="36.979999999999997"/>
        <n v="21.51"/>
        <n v="24.09"/>
        <n v="28.41"/>
        <n v="31.97"/>
        <n v="30.66"/>
        <n v="42.06"/>
        <n v="35.22"/>
        <n v="18.09"/>
        <n v="9.15"/>
        <n v="46.04"/>
        <n v="31.38"/>
        <n v="26.48"/>
        <n v="38.03"/>
        <n v="45.25"/>
        <n v="22.13"/>
        <n v="57.38"/>
        <n v="26.28"/>
        <n v="14.66"/>
        <n v="6.28"/>
        <n v="31.87"/>
        <n v="14.39"/>
        <n v="32.78"/>
        <n v="30.23"/>
        <n v="32.92"/>
        <n v="17.55"/>
        <n v="50.42"/>
        <n v="58.61"/>
        <n v="24.41"/>
        <n v="43.42"/>
        <n v="17.579999999999998"/>
        <n v="40.89"/>
        <n v="31.56"/>
        <n v="33.020000000000003"/>
        <n v="10.52"/>
        <n v="30.05"/>
        <n v="23.27"/>
        <n v="46.31"/>
        <n v="27.33"/>
        <n v="22.27"/>
        <n v="11.02"/>
        <n v="21.39"/>
        <n v="23.22"/>
        <n v="13.44"/>
        <n v="20.54"/>
        <n v="34.24"/>
        <n v="12.36"/>
        <n v="20.59"/>
        <n v="33.61"/>
        <n v="14.5"/>
        <n v="44.51"/>
        <n v="9.0299999999999994"/>
        <n v="29.75"/>
        <n v="36.950000000000003"/>
        <n v="37.42"/>
        <n v="38.79"/>
        <n v="21.21"/>
        <n v="25.94"/>
        <n v="21.12"/>
        <n v="31.61"/>
        <n v="57.54"/>
        <n v="16.95"/>
        <n v="27.73"/>
        <n v="30.86"/>
        <n v="59.82"/>
        <n v="9.91"/>
        <n v="38.04"/>
        <n v="22.6"/>
        <n v="21.98"/>
        <n v="26.66"/>
        <n v="40.07"/>
        <n v="29.18"/>
        <n v="30.74"/>
        <n v="53.49"/>
        <n v="19.18"/>
        <n v="14.14"/>
        <n v="20.63"/>
        <n v="37.67"/>
        <n v="32.619999999999997"/>
        <n v="35.78"/>
        <n v="28.63"/>
        <n v="27.98"/>
        <n v="43.5"/>
        <n v="32.47"/>
        <n v="55.28"/>
        <n v="50.43"/>
        <n v="33.83"/>
        <n v="46.41"/>
        <n v="38.630000000000003"/>
        <n v="36.26"/>
        <n v="29.7"/>
        <n v="16.47"/>
        <n v="18.670000000000002"/>
        <n v="59.12"/>
        <n v="34.26"/>
        <n v="11.94"/>
        <n v="55.07"/>
        <n v="10.93"/>
        <n v="26.67"/>
        <n v="31.07"/>
        <n v="22.98"/>
        <n v="18.440000000000001"/>
        <n v="25.98"/>
        <n v="41.32"/>
        <n v="14.45"/>
        <n v="39.58"/>
        <n v="49.2"/>
        <n v="21.03"/>
        <n v="1.07"/>
        <n v="35.14"/>
        <n v="46.06"/>
        <n v="7.64"/>
        <n v="41.59"/>
        <n v="40.18"/>
        <n v="44.81"/>
        <n v="42.33"/>
        <n v="37.64"/>
        <n v="59.92"/>
        <n v="20.14"/>
        <n v="28.32"/>
        <n v="12.21"/>
        <n v="45.19"/>
        <n v="44.87"/>
        <n v="3.79"/>
        <n v="27.45"/>
        <n v="30.92"/>
        <n v="29.07"/>
        <n v="27.08"/>
        <n v="36.630000000000003"/>
        <n v="9.31"/>
        <n v="21.43"/>
        <n v="21.17"/>
        <n v="29.79"/>
        <n v="13.4"/>
        <n v="19.829999999999998"/>
        <n v="58.01"/>
        <n v="45.54"/>
        <n v="20.07"/>
        <n v="29.13"/>
        <n v="17.53"/>
        <n v="33.58"/>
        <n v="29.72"/>
        <n v="6.48"/>
        <n v="19.899999999999999"/>
        <n v="22.99"/>
        <n v="15.11"/>
        <n v="33.97"/>
        <n v="40.840000000000003"/>
        <n v="32.46"/>
        <n v="54.82"/>
        <n v="41.68"/>
        <n v="28.03"/>
        <n v="15.77"/>
        <n v="28.56"/>
        <n v="24.23"/>
        <n v="29.82"/>
        <n v="13.95"/>
        <n v="44.12"/>
        <n v="43.84"/>
        <n v="56.17"/>
        <n v="53.94"/>
        <n v="18.7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41.676010995368" createdVersion="8" refreshedVersion="8" minRefreshableVersion="3" recordCount="4114" xr:uid="{122A1DCC-CBF5-4EA7-8A3D-E7DCE81801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 in days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x v="0"/>
    <x v="0"/>
    <x v="0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x v="1"/>
    <x v="0"/>
    <x v="1"/>
    <x v="0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x v="0"/>
    <x v="2"/>
    <x v="0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x v="0"/>
    <x v="3"/>
    <x v="0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x v="0"/>
    <x v="4"/>
    <x v="0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x v="0"/>
    <x v="5"/>
    <x v="0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x v="0"/>
    <x v="6"/>
    <x v="0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x v="0"/>
    <x v="7"/>
    <x v="0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x v="8"/>
    <x v="0"/>
    <x v="8"/>
    <x v="0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x v="0"/>
    <x v="9"/>
    <x v="0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x v="0"/>
    <x v="10"/>
    <x v="0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x v="0"/>
    <x v="11"/>
    <x v="0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x v="0"/>
    <x v="12"/>
    <x v="0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x v="0"/>
    <x v="13"/>
    <x v="0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x v="14"/>
    <x v="0"/>
    <x v="14"/>
    <x v="0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x v="0"/>
    <x v="15"/>
    <x v="0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x v="0"/>
    <x v="16"/>
    <x v="0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x v="0"/>
    <x v="17"/>
    <x v="0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x v="0"/>
    <x v="18"/>
    <x v="0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x v="0"/>
    <x v="19"/>
    <x v="0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x v="0"/>
    <x v="20"/>
    <x v="0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x v="0"/>
    <x v="21"/>
    <x v="0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x v="0"/>
    <x v="22"/>
    <x v="0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x v="0"/>
    <x v="23"/>
    <x v="0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x v="0"/>
    <x v="24"/>
    <x v="0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x v="0"/>
    <x v="25"/>
    <x v="0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x v="0"/>
    <x v="10"/>
    <x v="0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x v="0"/>
    <x v="3"/>
    <x v="0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x v="0"/>
    <x v="26"/>
    <x v="0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x v="0"/>
    <x v="27"/>
    <x v="0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x v="0"/>
    <x v="28"/>
    <x v="0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x v="0"/>
    <x v="29"/>
    <x v="0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x v="0"/>
    <x v="30"/>
    <x v="0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x v="0"/>
    <x v="31"/>
    <x v="0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x v="0"/>
    <x v="32"/>
    <x v="0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x v="0"/>
    <x v="33"/>
    <x v="0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x v="0"/>
    <x v="34"/>
    <x v="0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x v="0"/>
    <x v="35"/>
    <x v="0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x v="0"/>
    <x v="36"/>
    <x v="0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x v="0"/>
    <x v="37"/>
    <x v="0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x v="0"/>
    <x v="38"/>
    <x v="0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x v="0"/>
    <x v="10"/>
    <x v="0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x v="0"/>
    <x v="39"/>
    <x v="0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x v="0"/>
    <x v="40"/>
    <x v="0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x v="0"/>
    <x v="41"/>
    <x v="0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x v="0"/>
    <x v="42"/>
    <x v="0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x v="0"/>
    <x v="43"/>
    <x v="0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x v="0"/>
    <x v="16"/>
    <x v="0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x v="0"/>
    <x v="44"/>
    <x v="0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x v="49"/>
    <x v="0"/>
    <x v="45"/>
    <x v="0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x v="0"/>
    <x v="19"/>
    <x v="0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x v="0"/>
    <x v="46"/>
    <x v="0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x v="0"/>
    <x v="47"/>
    <x v="0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x v="0"/>
    <x v="27"/>
    <x v="0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x v="0"/>
    <x v="47"/>
    <x v="0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x v="0"/>
    <x v="48"/>
    <x v="0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x v="0"/>
    <x v="49"/>
    <x v="0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x v="0"/>
    <x v="50"/>
    <x v="0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x v="0"/>
    <x v="11"/>
    <x v="0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x v="0"/>
    <x v="51"/>
    <x v="0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x v="0"/>
    <x v="52"/>
    <x v="0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x v="0"/>
    <x v="23"/>
    <x v="0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x v="0"/>
    <x v="53"/>
    <x v="0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x v="0"/>
    <x v="31"/>
    <x v="0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x v="0"/>
    <x v="54"/>
    <x v="0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x v="0"/>
    <x v="7"/>
    <x v="0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x v="0"/>
    <x v="55"/>
    <x v="0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x v="0"/>
    <x v="9"/>
    <x v="0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x v="0"/>
    <x v="17"/>
    <x v="0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x v="0"/>
    <x v="56"/>
    <x v="0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x v="0"/>
    <x v="57"/>
    <x v="0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x v="0"/>
    <x v="58"/>
    <x v="0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x v="0"/>
    <x v="14"/>
    <x v="0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x v="0"/>
    <x v="59"/>
    <x v="0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x v="0"/>
    <x v="60"/>
    <x v="0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x v="0"/>
    <x v="5"/>
    <x v="0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x v="0"/>
    <x v="41"/>
    <x v="0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x v="0"/>
    <x v="55"/>
    <x v="0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x v="0"/>
    <x v="2"/>
    <x v="0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x v="0"/>
    <x v="14"/>
    <x v="0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x v="0"/>
    <x v="5"/>
    <x v="0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x v="0"/>
    <x v="33"/>
    <x v="0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x v="0"/>
    <x v="61"/>
    <x v="0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x v="0"/>
    <x v="62"/>
    <x v="0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x v="0"/>
    <x v="63"/>
    <x v="0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x v="0"/>
    <x v="64"/>
    <x v="0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x v="0"/>
    <x v="57"/>
    <x v="0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x v="0"/>
    <x v="20"/>
    <x v="0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x v="0"/>
    <x v="65"/>
    <x v="0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x v="0"/>
    <x v="66"/>
    <x v="0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x v="0"/>
    <x v="38"/>
    <x v="0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x v="0"/>
    <x v="67"/>
    <x v="0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x v="0"/>
    <x v="68"/>
    <x v="0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x v="0"/>
    <x v="41"/>
    <x v="0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x v="0"/>
    <x v="8"/>
    <x v="0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x v="0"/>
    <x v="64"/>
    <x v="0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x v="0"/>
    <x v="69"/>
    <x v="0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x v="0"/>
    <x v="22"/>
    <x v="0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x v="0"/>
    <x v="65"/>
    <x v="0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x v="0"/>
    <x v="70"/>
    <x v="0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x v="0"/>
    <x v="55"/>
    <x v="0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x v="0"/>
    <x v="2"/>
    <x v="0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x v="0"/>
    <x v="71"/>
    <x v="0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x v="0"/>
    <x v="72"/>
    <x v="0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x v="0"/>
    <x v="73"/>
    <x v="0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x v="0"/>
    <x v="65"/>
    <x v="0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x v="0"/>
    <n v="1333391901"/>
    <x v="106"/>
    <x v="0"/>
    <x v="74"/>
    <x v="0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x v="0"/>
    <x v="50"/>
    <x v="0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x v="0"/>
    <x v="5"/>
    <x v="0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x v="0"/>
    <x v="5"/>
    <x v="0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x v="0"/>
    <x v="55"/>
    <x v="0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x v="0"/>
    <x v="28"/>
    <x v="0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x v="0"/>
    <x v="75"/>
    <x v="0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x v="0"/>
    <x v="76"/>
    <x v="0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x v="0"/>
    <x v="2"/>
    <x v="0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x v="115"/>
    <x v="0"/>
    <x v="19"/>
    <x v="0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x v="0"/>
    <x v="7"/>
    <x v="0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x v="0"/>
    <x v="74"/>
    <x v="0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x v="0"/>
    <x v="70"/>
    <x v="0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x v="0"/>
    <x v="77"/>
    <x v="0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x v="0"/>
    <x v="29"/>
    <x v="1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x v="0"/>
    <x v="29"/>
    <x v="1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x v="0"/>
    <x v="78"/>
    <x v="1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x v="0"/>
    <x v="79"/>
    <x v="1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x v="0"/>
    <x v="78"/>
    <x v="1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x v="0"/>
    <x v="79"/>
    <x v="1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x v="0"/>
    <x v="62"/>
    <x v="1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x v="0"/>
    <x v="80"/>
    <x v="1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x v="128"/>
    <x v="0"/>
    <x v="79"/>
    <x v="1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x v="0"/>
    <x v="78"/>
    <x v="1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x v="0"/>
    <x v="78"/>
    <x v="1"/>
    <s v="film &amp; video/science fiction"/>
    <x v="50"/>
    <x v="121"/>
    <x v="0"/>
    <x v="2"/>
  </r>
  <r>
    <n v="131"/>
    <s v="I (Canceled)"/>
    <s v="I"/>
    <n v="1200"/>
    <n v="0"/>
    <x v="1"/>
    <x v="0"/>
    <x v="0"/>
    <n v="1467763200"/>
    <x v="131"/>
    <x v="0"/>
    <x v="78"/>
    <x v="1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x v="0"/>
    <x v="75"/>
    <x v="1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x v="0"/>
    <x v="78"/>
    <x v="1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x v="0"/>
    <x v="78"/>
    <x v="1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x v="0"/>
    <x v="81"/>
    <x v="1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x v="0"/>
    <x v="78"/>
    <x v="1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x v="0"/>
    <x v="78"/>
    <x v="1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x v="0"/>
    <x v="6"/>
    <x v="1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x v="0"/>
    <x v="29"/>
    <x v="1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x v="0"/>
    <x v="78"/>
    <x v="1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x v="0"/>
    <x v="33"/>
    <x v="1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x v="0"/>
    <x v="29"/>
    <x v="1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x v="0"/>
    <x v="78"/>
    <x v="1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x v="0"/>
    <x v="77"/>
    <x v="1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x v="0"/>
    <x v="82"/>
    <x v="1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x v="0"/>
    <x v="83"/>
    <x v="1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x v="147"/>
    <x v="0"/>
    <x v="78"/>
    <x v="1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x v="0"/>
    <x v="84"/>
    <x v="1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x v="0"/>
    <x v="79"/>
    <x v="1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x v="0"/>
    <x v="85"/>
    <x v="1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x v="0"/>
    <x v="81"/>
    <x v="1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x v="0"/>
    <x v="84"/>
    <x v="1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x v="0"/>
    <x v="73"/>
    <x v="1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x v="0"/>
    <x v="83"/>
    <x v="1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x v="0"/>
    <x v="80"/>
    <x v="1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x v="0"/>
    <x v="41"/>
    <x v="1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x v="0"/>
    <x v="84"/>
    <x v="1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x v="0"/>
    <x v="78"/>
    <x v="1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x v="0"/>
    <x v="29"/>
    <x v="1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x v="0"/>
    <x v="78"/>
    <x v="1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x v="0"/>
    <x v="29"/>
    <x v="1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x v="0"/>
    <x v="73"/>
    <x v="1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x v="0"/>
    <x v="78"/>
    <x v="1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x v="0"/>
    <x v="63"/>
    <x v="1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x v="165"/>
    <x v="0"/>
    <x v="78"/>
    <x v="1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x v="0"/>
    <x v="29"/>
    <x v="1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x v="0"/>
    <x v="84"/>
    <x v="1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x v="0"/>
    <x v="83"/>
    <x v="1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x v="0"/>
    <x v="73"/>
    <x v="1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x v="0"/>
    <x v="73"/>
    <x v="1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x v="0"/>
    <x v="29"/>
    <x v="1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x v="0"/>
    <x v="78"/>
    <x v="1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x v="0"/>
    <x v="78"/>
    <x v="1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x v="0"/>
    <x v="78"/>
    <x v="1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x v="0"/>
    <x v="55"/>
    <x v="1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x v="0"/>
    <x v="78"/>
    <x v="1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x v="0"/>
    <x v="63"/>
    <x v="1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x v="0"/>
    <x v="78"/>
    <x v="1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x v="0"/>
    <x v="84"/>
    <x v="1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x v="0"/>
    <x v="62"/>
    <x v="1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x v="0"/>
    <x v="80"/>
    <x v="1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x v="0"/>
    <x v="78"/>
    <x v="1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x v="1"/>
    <n v="1417033610"/>
    <x v="183"/>
    <x v="0"/>
    <x v="8"/>
    <x v="1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x v="0"/>
    <x v="84"/>
    <x v="1"/>
    <s v="film &amp; video/drama"/>
    <x v="56"/>
    <x v="156"/>
    <x v="0"/>
    <x v="3"/>
  </r>
  <r>
    <n v="185"/>
    <s v="BLANK Short Movie"/>
    <s v="Love has no boundaries!"/>
    <n v="40000"/>
    <n v="2200"/>
    <x v="2"/>
    <x v="10"/>
    <x v="8"/>
    <n v="1471557139"/>
    <x v="185"/>
    <x v="0"/>
    <x v="73"/>
    <x v="1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x v="0"/>
    <x v="78"/>
    <x v="1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x v="0"/>
    <x v="81"/>
    <x v="1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x v="0"/>
    <x v="78"/>
    <x v="1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x v="0"/>
    <x v="81"/>
    <x v="1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x v="0"/>
    <n v="1466091446"/>
    <x v="190"/>
    <x v="0"/>
    <x v="29"/>
    <x v="1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x v="0"/>
    <x v="83"/>
    <x v="1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x v="0"/>
    <x v="83"/>
    <x v="1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x v="0"/>
    <x v="78"/>
    <x v="1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x v="0"/>
    <x v="83"/>
    <x v="1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x v="0"/>
    <x v="78"/>
    <x v="1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x v="0"/>
    <x v="10"/>
    <x v="1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x v="0"/>
    <x v="22"/>
    <x v="1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x v="0"/>
    <x v="79"/>
    <x v="1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x v="0"/>
    <x v="78"/>
    <x v="1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x v="0"/>
    <x v="59"/>
    <x v="1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x v="0"/>
    <x v="63"/>
    <x v="1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x v="0"/>
    <n v="1444337940"/>
    <x v="202"/>
    <x v="0"/>
    <x v="78"/>
    <x v="1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x v="0"/>
    <x v="22"/>
    <x v="1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x v="0"/>
    <x v="86"/>
    <x v="1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x v="0"/>
    <x v="57"/>
    <x v="1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x v="0"/>
    <x v="78"/>
    <x v="1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x v="0"/>
    <x v="62"/>
    <x v="1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x v="0"/>
    <x v="78"/>
    <x v="1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x v="0"/>
    <x v="78"/>
    <x v="1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x v="0"/>
    <x v="51"/>
    <x v="1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x v="0"/>
    <x v="8"/>
    <x v="1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x v="0"/>
    <x v="29"/>
    <x v="1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x v="0"/>
    <x v="29"/>
    <x v="1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x v="0"/>
    <x v="29"/>
    <x v="1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x v="0"/>
    <x v="29"/>
    <x v="1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x v="0"/>
    <x v="87"/>
    <x v="1"/>
    <s v="film &amp; video/drama"/>
    <x v="80"/>
    <x v="173"/>
    <x v="0"/>
    <x v="3"/>
  </r>
  <r>
    <n v="217"/>
    <s v="Bitch"/>
    <s v="A roadmovie by paw"/>
    <n v="100000"/>
    <n v="11943"/>
    <x v="2"/>
    <x v="11"/>
    <x v="9"/>
    <n v="1419780149"/>
    <x v="217"/>
    <x v="0"/>
    <x v="44"/>
    <x v="1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x v="0"/>
    <x v="29"/>
    <x v="1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x v="0"/>
    <x v="88"/>
    <x v="1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x v="0"/>
    <x v="83"/>
    <x v="1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x v="0"/>
    <n v="1427569564"/>
    <x v="221"/>
    <x v="0"/>
    <x v="78"/>
    <x v="1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x v="0"/>
    <x v="84"/>
    <x v="1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x v="0"/>
    <x v="78"/>
    <x v="1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x v="0"/>
    <x v="78"/>
    <x v="1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x v="0"/>
    <x v="78"/>
    <x v="1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x v="0"/>
    <x v="84"/>
    <x v="1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x v="0"/>
    <x v="78"/>
    <x v="1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x v="0"/>
    <x v="78"/>
    <x v="1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x v="0"/>
    <x v="78"/>
    <x v="1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x v="0"/>
    <x v="84"/>
    <x v="1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x v="0"/>
    <x v="78"/>
    <x v="1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x v="0"/>
    <x v="63"/>
    <x v="1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x v="0"/>
    <x v="78"/>
    <x v="1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x v="0"/>
    <x v="81"/>
    <x v="1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x v="0"/>
    <x v="78"/>
    <x v="1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x v="0"/>
    <x v="78"/>
    <x v="1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x v="237"/>
    <x v="0"/>
    <x v="29"/>
    <x v="1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x v="0"/>
    <x v="78"/>
    <x v="1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x v="0"/>
    <x v="81"/>
    <x v="1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x v="1"/>
    <x v="89"/>
    <x v="0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x v="1"/>
    <x v="90"/>
    <x v="0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x v="1"/>
    <x v="91"/>
    <x v="0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x v="1"/>
    <x v="92"/>
    <x v="0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x v="1"/>
    <x v="87"/>
    <x v="0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x v="1"/>
    <x v="93"/>
    <x v="0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x v="1"/>
    <x v="94"/>
    <x v="0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x v="1"/>
    <x v="95"/>
    <x v="0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x v="1"/>
    <x v="96"/>
    <x v="0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x v="1"/>
    <x v="97"/>
    <x v="0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x v="1"/>
    <x v="98"/>
    <x v="0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x v="1"/>
    <x v="99"/>
    <x v="0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x v="1"/>
    <x v="52"/>
    <x v="0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x v="1"/>
    <x v="63"/>
    <x v="0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x v="1"/>
    <x v="100"/>
    <x v="0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x v="1"/>
    <x v="101"/>
    <x v="0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x v="1"/>
    <x v="102"/>
    <x v="0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x v="1"/>
    <x v="103"/>
    <x v="0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x v="1"/>
    <x v="104"/>
    <x v="0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x v="1"/>
    <x v="105"/>
    <x v="0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x v="1"/>
    <x v="106"/>
    <x v="0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x v="1"/>
    <x v="107"/>
    <x v="0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x v="1"/>
    <x v="108"/>
    <x v="0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x v="1"/>
    <x v="109"/>
    <x v="0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x v="1"/>
    <x v="110"/>
    <x v="0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x v="1"/>
    <x v="6"/>
    <x v="0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x v="1"/>
    <x v="17"/>
    <x v="0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x v="1"/>
    <x v="111"/>
    <x v="0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x v="1"/>
    <x v="112"/>
    <x v="0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x v="1"/>
    <x v="113"/>
    <x v="0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x v="1"/>
    <x v="42"/>
    <x v="0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x v="1"/>
    <x v="114"/>
    <x v="0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x v="1"/>
    <x v="71"/>
    <x v="0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x v="1"/>
    <x v="115"/>
    <x v="0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x v="1"/>
    <x v="116"/>
    <x v="0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x v="1"/>
    <x v="117"/>
    <x v="0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x v="1"/>
    <x v="95"/>
    <x v="0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x v="1"/>
    <x v="118"/>
    <x v="0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x v="1"/>
    <x v="119"/>
    <x v="0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x v="1"/>
    <x v="120"/>
    <x v="0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x v="1"/>
    <x v="121"/>
    <x v="0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x v="1"/>
    <x v="1"/>
    <x v="0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x v="1"/>
    <x v="122"/>
    <x v="0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x v="0"/>
    <n v="1306904340"/>
    <x v="283"/>
    <x v="1"/>
    <x v="91"/>
    <x v="0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x v="1"/>
    <x v="123"/>
    <x v="0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x v="1"/>
    <x v="124"/>
    <x v="0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x v="1"/>
    <x v="125"/>
    <x v="0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x v="1"/>
    <x v="126"/>
    <x v="0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x v="1"/>
    <x v="127"/>
    <x v="0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x v="1"/>
    <x v="128"/>
    <x v="0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x v="1"/>
    <x v="129"/>
    <x v="0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x v="1"/>
    <x v="130"/>
    <x v="0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x v="1"/>
    <x v="131"/>
    <x v="0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x v="1"/>
    <x v="132"/>
    <x v="0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x v="1"/>
    <x v="133"/>
    <x v="0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x v="1"/>
    <x v="134"/>
    <x v="0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x v="1"/>
    <x v="135"/>
    <x v="0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x v="1"/>
    <x v="136"/>
    <x v="0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x v="1"/>
    <x v="137"/>
    <x v="0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x v="1"/>
    <x v="138"/>
    <x v="0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x v="1"/>
    <x v="139"/>
    <x v="0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x v="1"/>
    <x v="140"/>
    <x v="0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x v="1"/>
    <x v="52"/>
    <x v="0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x v="1"/>
    <x v="141"/>
    <x v="0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x v="1"/>
    <x v="142"/>
    <x v="0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x v="1"/>
    <x v="143"/>
    <x v="0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x v="1"/>
    <x v="144"/>
    <x v="0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x v="0"/>
    <n v="1360276801"/>
    <x v="307"/>
    <x v="1"/>
    <x v="145"/>
    <x v="0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x v="1"/>
    <x v="91"/>
    <x v="0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x v="1"/>
    <x v="146"/>
    <x v="0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x v="1"/>
    <x v="17"/>
    <x v="0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x v="1"/>
    <x v="3"/>
    <x v="0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x v="1"/>
    <x v="96"/>
    <x v="0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x v="1"/>
    <x v="147"/>
    <x v="0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x v="1"/>
    <x v="148"/>
    <x v="0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x v="1"/>
    <x v="149"/>
    <x v="0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x v="1"/>
    <x v="150"/>
    <x v="0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x v="1"/>
    <x v="151"/>
    <x v="0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x v="1"/>
    <x v="4"/>
    <x v="0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x v="1"/>
    <x v="13"/>
    <x v="0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x v="1"/>
    <x v="150"/>
    <x v="0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x v="1"/>
    <x v="152"/>
    <x v="0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x v="1"/>
    <x v="153"/>
    <x v="0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x v="1"/>
    <x v="6"/>
    <x v="0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x v="1"/>
    <x v="141"/>
    <x v="0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x v="1"/>
    <x v="154"/>
    <x v="0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x v="1"/>
    <x v="155"/>
    <x v="0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x v="1"/>
    <x v="69"/>
    <x v="0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x v="1"/>
    <x v="156"/>
    <x v="0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x v="1"/>
    <x v="157"/>
    <x v="0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x v="1"/>
    <x v="158"/>
    <x v="0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x v="1"/>
    <x v="159"/>
    <x v="0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x v="1"/>
    <x v="160"/>
    <x v="0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x v="1"/>
    <x v="161"/>
    <x v="0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x v="1"/>
    <x v="50"/>
    <x v="0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x v="1"/>
    <x v="144"/>
    <x v="0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x v="1"/>
    <x v="131"/>
    <x v="0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x v="1"/>
    <x v="162"/>
    <x v="0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x v="1"/>
    <x v="163"/>
    <x v="0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x v="1"/>
    <x v="30"/>
    <x v="0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x v="1"/>
    <x v="164"/>
    <x v="0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x v="1"/>
    <x v="165"/>
    <x v="0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x v="1"/>
    <x v="166"/>
    <x v="0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x v="1"/>
    <x v="167"/>
    <x v="0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x v="1"/>
    <x v="168"/>
    <x v="0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x v="1"/>
    <x v="122"/>
    <x v="0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x v="1"/>
    <x v="101"/>
    <x v="0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x v="1"/>
    <x v="169"/>
    <x v="0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x v="1"/>
    <x v="46"/>
    <x v="0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x v="1"/>
    <x v="157"/>
    <x v="0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x v="1"/>
    <x v="170"/>
    <x v="0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x v="1"/>
    <x v="171"/>
    <x v="0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x v="1"/>
    <x v="172"/>
    <x v="0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x v="1"/>
    <x v="173"/>
    <x v="0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x v="1"/>
    <x v="60"/>
    <x v="0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x v="1"/>
    <x v="111"/>
    <x v="0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x v="1"/>
    <x v="174"/>
    <x v="0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x v="1"/>
    <x v="175"/>
    <x v="0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x v="1"/>
    <x v="176"/>
    <x v="0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x v="1"/>
    <x v="177"/>
    <x v="0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x v="0"/>
    <x v="45"/>
    <x v="0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x v="0"/>
    <x v="178"/>
    <x v="0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x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x v="0"/>
    <x v="55"/>
    <x v="0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x v="0"/>
    <x v="116"/>
    <x v="0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x v="0"/>
    <x v="71"/>
    <x v="0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x v="0"/>
    <x v="179"/>
    <x v="0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x v="0"/>
    <x v="46"/>
    <x v="0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x v="0"/>
    <x v="180"/>
    <x v="0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x v="0"/>
    <x v="157"/>
    <x v="0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x v="0"/>
    <x v="68"/>
    <x v="0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x v="0"/>
    <x v="181"/>
    <x v="0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x v="372"/>
    <x v="0"/>
    <x v="82"/>
    <x v="0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x v="0"/>
    <x v="30"/>
    <x v="0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x v="0"/>
    <x v="49"/>
    <x v="0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x v="0"/>
    <x v="25"/>
    <x v="0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x v="0"/>
    <x v="53"/>
    <x v="0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x v="0"/>
    <x v="182"/>
    <x v="0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x v="0"/>
    <x v="183"/>
    <x v="0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x v="0"/>
    <x v="184"/>
    <x v="0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x v="0"/>
    <x v="72"/>
    <x v="0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x v="0"/>
    <x v="140"/>
    <x v="0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x v="0"/>
    <x v="19"/>
    <x v="0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x v="0"/>
    <x v="53"/>
    <x v="0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x v="0"/>
    <x v="185"/>
    <x v="0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x v="0"/>
    <x v="186"/>
    <x v="0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x v="0"/>
    <x v="62"/>
    <x v="0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x v="0"/>
    <x v="187"/>
    <x v="0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x v="0"/>
    <x v="26"/>
    <x v="0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x v="0"/>
    <x v="188"/>
    <x v="0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x v="0"/>
    <x v="25"/>
    <x v="0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x v="0"/>
    <x v="189"/>
    <x v="0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x v="0"/>
    <x v="190"/>
    <x v="0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x v="0"/>
    <x v="191"/>
    <x v="0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x v="0"/>
    <x v="133"/>
    <x v="0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x v="0"/>
    <x v="192"/>
    <x v="0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x v="0"/>
    <x v="193"/>
    <x v="0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x v="0"/>
    <x v="194"/>
    <x v="0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x v="0"/>
    <x v="85"/>
    <x v="0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x v="0"/>
    <x v="195"/>
    <x v="0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x v="0"/>
    <x v="95"/>
    <x v="0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x v="0"/>
    <x v="196"/>
    <x v="0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x v="0"/>
    <x v="68"/>
    <x v="0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x v="0"/>
    <x v="16"/>
    <x v="0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x v="0"/>
    <x v="197"/>
    <x v="0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x v="0"/>
    <x v="165"/>
    <x v="0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x v="0"/>
    <x v="2"/>
    <x v="0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x v="0"/>
    <x v="19"/>
    <x v="0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x v="0"/>
    <x v="44"/>
    <x v="0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x v="0"/>
    <x v="41"/>
    <x v="0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x v="0"/>
    <x v="63"/>
    <x v="0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x v="0"/>
    <x v="198"/>
    <x v="0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x v="0"/>
    <x v="165"/>
    <x v="0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x v="0"/>
    <x v="199"/>
    <x v="0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x v="0"/>
    <x v="200"/>
    <x v="0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x v="0"/>
    <x v="64"/>
    <x v="0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x v="0"/>
    <x v="20"/>
    <x v="0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x v="0"/>
    <x v="47"/>
    <x v="0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x v="0"/>
    <x v="201"/>
    <x v="0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x v="0"/>
    <x v="196"/>
    <x v="0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x v="0"/>
    <x v="83"/>
    <x v="1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x v="0"/>
    <x v="79"/>
    <x v="1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x v="0"/>
    <x v="8"/>
    <x v="1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x v="0"/>
    <x v="62"/>
    <x v="1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x v="0"/>
    <x v="81"/>
    <x v="1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x v="0"/>
    <x v="84"/>
    <x v="1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x v="0"/>
    <x v="22"/>
    <x v="1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x v="0"/>
    <x v="78"/>
    <x v="1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x v="0"/>
    <x v="62"/>
    <x v="1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x v="0"/>
    <x v="78"/>
    <x v="1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x v="0"/>
    <x v="81"/>
    <x v="1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x v="0"/>
    <x v="22"/>
    <x v="1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x v="0"/>
    <x v="22"/>
    <x v="1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x v="0"/>
    <x v="78"/>
    <x v="1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x v="0"/>
    <x v="84"/>
    <x v="1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x v="0"/>
    <x v="83"/>
    <x v="1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x v="0"/>
    <x v="78"/>
    <x v="1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x v="0"/>
    <x v="78"/>
    <x v="1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x v="0"/>
    <x v="202"/>
    <x v="1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x v="0"/>
    <x v="78"/>
    <x v="1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x v="0"/>
    <x v="29"/>
    <x v="1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x v="0"/>
    <x v="78"/>
    <x v="1"/>
    <s v="film &amp; video/animation"/>
    <x v="50"/>
    <x v="121"/>
    <x v="0"/>
    <x v="5"/>
  </r>
  <r>
    <n v="442"/>
    <s v="The Paranormal Idiot"/>
    <s v="Doomsday is here"/>
    <n v="17000"/>
    <n v="6691"/>
    <x v="2"/>
    <x v="0"/>
    <x v="0"/>
    <n v="1424380783"/>
    <x v="442"/>
    <x v="0"/>
    <x v="57"/>
    <x v="1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x v="0"/>
    <x v="84"/>
    <x v="1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x v="0"/>
    <x v="29"/>
    <x v="1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x v="0"/>
    <x v="84"/>
    <x v="1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x v="0"/>
    <x v="38"/>
    <x v="1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x v="0"/>
    <x v="29"/>
    <x v="1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x v="0"/>
    <x v="80"/>
    <x v="1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x v="0"/>
    <x v="81"/>
    <x v="1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x v="0"/>
    <x v="63"/>
    <x v="1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x v="0"/>
    <x v="78"/>
    <x v="1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x v="0"/>
    <x v="8"/>
    <x v="1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x v="0"/>
    <x v="84"/>
    <x v="1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x v="0"/>
    <x v="81"/>
    <x v="1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x v="0"/>
    <x v="84"/>
    <x v="1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x v="0"/>
    <x v="83"/>
    <x v="1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x v="0"/>
    <x v="78"/>
    <x v="1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x v="0"/>
    <x v="72"/>
    <x v="1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x v="0"/>
    <x v="29"/>
    <x v="1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x v="0"/>
    <n v="1401595200"/>
    <x v="460"/>
    <x v="0"/>
    <x v="84"/>
    <x v="1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x v="0"/>
    <x v="78"/>
    <x v="1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x v="0"/>
    <x v="78"/>
    <x v="1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x v="0"/>
    <x v="202"/>
    <x v="1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x v="0"/>
    <x v="29"/>
    <x v="1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x v="0"/>
    <x v="22"/>
    <x v="1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x v="0"/>
    <x v="81"/>
    <x v="1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x v="0"/>
    <x v="70"/>
    <x v="1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x v="0"/>
    <x v="78"/>
    <x v="1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x v="0"/>
    <x v="78"/>
    <x v="1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x v="0"/>
    <x v="84"/>
    <x v="1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x v="0"/>
    <x v="203"/>
    <x v="1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x v="0"/>
    <x v="81"/>
    <x v="1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x v="0"/>
    <x v="25"/>
    <x v="1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x v="0"/>
    <x v="29"/>
    <x v="1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x v="0"/>
    <x v="78"/>
    <x v="1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x v="476"/>
    <x v="0"/>
    <x v="204"/>
    <x v="1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x v="0"/>
    <x v="78"/>
    <x v="1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x v="0"/>
    <x v="78"/>
    <x v="1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x v="0"/>
    <x v="165"/>
    <x v="1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x v="0"/>
    <x v="205"/>
    <x v="1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x v="0"/>
    <x v="64"/>
    <x v="1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x v="0"/>
    <x v="29"/>
    <x v="1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x v="0"/>
    <x v="206"/>
    <x v="1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x v="0"/>
    <x v="202"/>
    <x v="1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x v="0"/>
    <x v="207"/>
    <x v="1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x v="0"/>
    <x v="29"/>
    <x v="1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x v="0"/>
    <x v="78"/>
    <x v="1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x v="0"/>
    <x v="78"/>
    <x v="1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x v="0"/>
    <x v="83"/>
    <x v="1"/>
    <s v="film &amp; video/animation"/>
    <x v="50"/>
    <x v="395"/>
    <x v="0"/>
    <x v="5"/>
  </r>
  <r>
    <n v="490"/>
    <s v="PROJECT IS CANCELLED"/>
    <s v="Cancelled"/>
    <n v="1000"/>
    <n v="0"/>
    <x v="2"/>
    <x v="0"/>
    <x v="0"/>
    <n v="1345677285"/>
    <x v="490"/>
    <x v="0"/>
    <x v="78"/>
    <x v="1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x v="0"/>
    <x v="78"/>
    <x v="1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x v="0"/>
    <x v="78"/>
    <x v="1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x v="0"/>
    <x v="78"/>
    <x v="1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x v="0"/>
    <x v="83"/>
    <x v="1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x v="0"/>
    <x v="78"/>
    <x v="1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x v="0"/>
    <x v="29"/>
    <x v="1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x v="0"/>
    <n v="1419483600"/>
    <x v="497"/>
    <x v="0"/>
    <x v="83"/>
    <x v="1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x v="0"/>
    <x v="19"/>
    <x v="1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x v="0"/>
    <x v="55"/>
    <x v="1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x v="0"/>
    <x v="80"/>
    <x v="1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x v="0"/>
    <x v="78"/>
    <x v="1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x v="0"/>
    <x v="80"/>
    <x v="1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x v="0"/>
    <x v="82"/>
    <x v="1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x v="0"/>
    <x v="81"/>
    <x v="1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x v="0"/>
    <x v="25"/>
    <x v="1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x v="0"/>
    <x v="29"/>
    <x v="1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x v="0"/>
    <x v="73"/>
    <x v="1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x v="0"/>
    <x v="83"/>
    <x v="1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x v="0"/>
    <x v="29"/>
    <x v="1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x v="0"/>
    <x v="78"/>
    <x v="1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x v="0"/>
    <x v="81"/>
    <x v="1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x v="0"/>
    <x v="84"/>
    <x v="1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x v="0"/>
    <x v="32"/>
    <x v="1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x v="0"/>
    <x v="83"/>
    <x v="1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x v="0"/>
    <x v="69"/>
    <x v="1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x v="1"/>
    <n v="1432752080"/>
    <x v="516"/>
    <x v="0"/>
    <x v="78"/>
    <x v="1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x v="0"/>
    <x v="83"/>
    <x v="1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x v="0"/>
    <x v="78"/>
    <x v="1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x v="0"/>
    <x v="16"/>
    <x v="1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x v="0"/>
    <x v="69"/>
    <x v="0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x v="0"/>
    <x v="66"/>
    <x v="0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x v="0"/>
    <x v="162"/>
    <x v="0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x v="0"/>
    <x v="87"/>
    <x v="0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x v="0"/>
    <x v="208"/>
    <x v="0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x v="0"/>
    <x v="8"/>
    <x v="0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x v="0"/>
    <x v="23"/>
    <x v="0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x v="0"/>
    <x v="150"/>
    <x v="0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x v="0"/>
    <n v="1434921600"/>
    <x v="528"/>
    <x v="0"/>
    <x v="209"/>
    <x v="0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x v="0"/>
    <x v="59"/>
    <x v="0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x v="0"/>
    <x v="60"/>
    <x v="0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x v="0"/>
    <x v="162"/>
    <x v="0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x v="0"/>
    <x v="210"/>
    <x v="0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x v="0"/>
    <x v="57"/>
    <x v="0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x v="0"/>
    <x v="53"/>
    <x v="0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x v="0"/>
    <x v="211"/>
    <x v="0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x v="0"/>
    <x v="70"/>
    <x v="0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x v="0"/>
    <x v="211"/>
    <x v="0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x v="0"/>
    <x v="65"/>
    <x v="0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x v="0"/>
    <x v="9"/>
    <x v="0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x v="0"/>
    <x v="29"/>
    <x v="1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x v="0"/>
    <x v="29"/>
    <x v="1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x v="0"/>
    <x v="29"/>
    <x v="1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x v="0"/>
    <x v="84"/>
    <x v="1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x v="0"/>
    <x v="84"/>
    <x v="1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x v="0"/>
    <x v="69"/>
    <x v="1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x v="0"/>
    <x v="84"/>
    <x v="1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x v="0"/>
    <x v="78"/>
    <x v="1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x v="0"/>
    <x v="29"/>
    <x v="1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x v="0"/>
    <x v="22"/>
    <x v="1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x v="0"/>
    <x v="80"/>
    <x v="1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x v="0"/>
    <x v="33"/>
    <x v="1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x v="0"/>
    <x v="78"/>
    <x v="1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x v="0"/>
    <x v="79"/>
    <x v="1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x v="0"/>
    <x v="19"/>
    <x v="1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x v="0"/>
    <x v="78"/>
    <x v="1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x v="556"/>
    <x v="0"/>
    <x v="29"/>
    <x v="1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x v="0"/>
    <x v="9"/>
    <x v="1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x v="0"/>
    <x v="78"/>
    <x v="1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x v="0"/>
    <x v="29"/>
    <x v="1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x v="0"/>
    <x v="83"/>
    <x v="1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x v="0"/>
    <x v="84"/>
    <x v="1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x v="0"/>
    <x v="78"/>
    <x v="1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x v="0"/>
    <x v="84"/>
    <x v="1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x v="0"/>
    <x v="29"/>
    <x v="1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x v="0"/>
    <x v="78"/>
    <x v="1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x v="0"/>
    <x v="29"/>
    <x v="1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x v="0"/>
    <x v="78"/>
    <x v="1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x v="0"/>
    <x v="81"/>
    <x v="1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x v="0"/>
    <x v="29"/>
    <x v="1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x v="0"/>
    <x v="29"/>
    <x v="1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x v="0"/>
    <x v="84"/>
    <x v="1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x v="0"/>
    <x v="78"/>
    <x v="1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x v="0"/>
    <x v="82"/>
    <x v="1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x v="0"/>
    <x v="80"/>
    <x v="1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x v="0"/>
    <x v="80"/>
    <x v="1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x v="0"/>
    <x v="29"/>
    <x v="1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x v="0"/>
    <x v="29"/>
    <x v="1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x v="578"/>
    <x v="0"/>
    <x v="63"/>
    <x v="1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x v="0"/>
    <x v="81"/>
    <x v="1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x v="0"/>
    <x v="29"/>
    <x v="1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x v="0"/>
    <x v="78"/>
    <x v="1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x v="0"/>
    <x v="78"/>
    <x v="1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x v="0"/>
    <x v="29"/>
    <x v="1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x v="0"/>
    <x v="84"/>
    <x v="1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x v="585"/>
    <x v="0"/>
    <x v="78"/>
    <x v="1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x v="0"/>
    <x v="80"/>
    <x v="1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x v="0"/>
    <x v="63"/>
    <x v="1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x v="0"/>
    <x v="84"/>
    <x v="1"/>
    <s v="technology/web"/>
    <x v="56"/>
    <x v="450"/>
    <x v="2"/>
    <x v="7"/>
  </r>
  <r>
    <n v="589"/>
    <s v="Get Neighborly"/>
    <s v="Services closer than you think..."/>
    <n v="7500"/>
    <n v="1"/>
    <x v="2"/>
    <x v="0"/>
    <x v="0"/>
    <n v="1436366699"/>
    <x v="589"/>
    <x v="0"/>
    <x v="29"/>
    <x v="1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x v="0"/>
    <x v="82"/>
    <x v="1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x v="0"/>
    <x v="84"/>
    <x v="1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x v="0"/>
    <x v="29"/>
    <x v="1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x v="0"/>
    <x v="63"/>
    <x v="1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x v="594"/>
    <x v="0"/>
    <x v="84"/>
    <x v="1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x v="0"/>
    <x v="22"/>
    <x v="1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x v="0"/>
    <x v="84"/>
    <x v="1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x v="0"/>
    <x v="84"/>
    <x v="1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x v="0"/>
    <x v="63"/>
    <x v="1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x v="0"/>
    <x v="84"/>
    <x v="1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x v="0"/>
    <x v="29"/>
    <x v="1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x v="0"/>
    <x v="79"/>
    <x v="1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x v="0"/>
    <x v="78"/>
    <x v="1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x v="0"/>
    <x v="62"/>
    <x v="1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x v="0"/>
    <x v="78"/>
    <x v="1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x v="605"/>
    <x v="0"/>
    <x v="22"/>
    <x v="1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x v="0"/>
    <x v="29"/>
    <x v="1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x v="0"/>
    <x v="78"/>
    <x v="1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x v="0"/>
    <x v="81"/>
    <x v="1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x v="0"/>
    <x v="29"/>
    <x v="1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x v="0"/>
    <x v="78"/>
    <x v="1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x v="0"/>
    <x v="78"/>
    <x v="1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x v="0"/>
    <x v="78"/>
    <x v="1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x v="0"/>
    <x v="212"/>
    <x v="1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x v="0"/>
    <x v="78"/>
    <x v="1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x v="0"/>
    <x v="78"/>
    <x v="1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x v="0"/>
    <x v="78"/>
    <x v="1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x v="0"/>
    <x v="83"/>
    <x v="1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x v="0"/>
    <x v="78"/>
    <x v="1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x v="0"/>
    <x v="29"/>
    <x v="1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x v="0"/>
    <x v="29"/>
    <x v="1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x v="0"/>
    <x v="83"/>
    <x v="1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x v="0"/>
    <x v="82"/>
    <x v="1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x v="0"/>
    <x v="78"/>
    <x v="1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x v="0"/>
    <x v="78"/>
    <x v="1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x v="0"/>
    <x v="78"/>
    <x v="1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x v="0"/>
    <x v="70"/>
    <x v="1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x v="0"/>
    <x v="29"/>
    <x v="1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x v="0"/>
    <x v="78"/>
    <x v="1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x v="0"/>
    <x v="83"/>
    <x v="1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x v="0"/>
    <x v="29"/>
    <x v="1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x v="0"/>
    <x v="82"/>
    <x v="1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x v="0"/>
    <x v="78"/>
    <x v="1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x v="0"/>
    <x v="20"/>
    <x v="1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x v="0"/>
    <x v="29"/>
    <x v="1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x v="0"/>
    <x v="29"/>
    <x v="1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x v="0"/>
    <x v="29"/>
    <x v="1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x v="0"/>
    <x v="78"/>
    <x v="1"/>
    <s v="technology/web"/>
    <x v="50"/>
    <x v="121"/>
    <x v="2"/>
    <x v="7"/>
  </r>
  <r>
    <n v="638"/>
    <s v="W (Canceled)"/>
    <s v="O0"/>
    <n v="200000"/>
    <n v="18"/>
    <x v="1"/>
    <x v="12"/>
    <x v="3"/>
    <n v="1490447662"/>
    <x v="638"/>
    <x v="0"/>
    <x v="79"/>
    <x v="1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x v="0"/>
    <x v="29"/>
    <x v="1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x v="0"/>
    <x v="84"/>
    <x v="0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x v="0"/>
    <x v="213"/>
    <x v="0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x v="0"/>
    <x v="214"/>
    <x v="0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x v="0"/>
    <x v="215"/>
    <x v="0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x v="0"/>
    <x v="216"/>
    <x v="0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x v="0"/>
    <x v="186"/>
    <x v="0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x v="0"/>
    <x v="74"/>
    <x v="0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x v="0"/>
    <x v="57"/>
    <x v="0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x v="648"/>
    <x v="0"/>
    <x v="74"/>
    <x v="0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x v="0"/>
    <x v="141"/>
    <x v="0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x v="0"/>
    <x v="53"/>
    <x v="0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x v="0"/>
    <x v="217"/>
    <x v="0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x v="0"/>
    <x v="33"/>
    <x v="0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x v="0"/>
    <x v="218"/>
    <x v="0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x v="0"/>
    <x v="219"/>
    <x v="0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x v="0"/>
    <x v="220"/>
    <x v="0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x v="0"/>
    <x v="45"/>
    <x v="0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x v="0"/>
    <x v="221"/>
    <x v="0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x v="0"/>
    <x v="222"/>
    <x v="0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x v="0"/>
    <n v="1440339295"/>
    <x v="659"/>
    <x v="0"/>
    <x v="64"/>
    <x v="0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x v="0"/>
    <x v="59"/>
    <x v="1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x v="0"/>
    <x v="82"/>
    <x v="1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x v="0"/>
    <x v="80"/>
    <x v="1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x v="0"/>
    <x v="63"/>
    <x v="1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x v="0"/>
    <x v="60"/>
    <x v="1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x v="0"/>
    <x v="8"/>
    <x v="1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x v="0"/>
    <x v="80"/>
    <x v="1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x v="0"/>
    <x v="33"/>
    <x v="1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x v="0"/>
    <x v="20"/>
    <x v="1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x v="0"/>
    <x v="33"/>
    <x v="1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x v="0"/>
    <x v="223"/>
    <x v="1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x v="0"/>
    <x v="41"/>
    <x v="1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x v="0"/>
    <x v="224"/>
    <x v="1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x v="0"/>
    <x v="83"/>
    <x v="1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x v="0"/>
    <x v="84"/>
    <x v="1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x v="0"/>
    <x v="55"/>
    <x v="1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x v="0"/>
    <x v="54"/>
    <x v="1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x v="0"/>
    <x v="93"/>
    <x v="1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x v="0"/>
    <x v="57"/>
    <x v="1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x v="0"/>
    <x v="225"/>
    <x v="1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x v="0"/>
    <x v="135"/>
    <x v="1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x v="0"/>
    <x v="29"/>
    <x v="1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x v="0"/>
    <x v="80"/>
    <x v="1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x v="0"/>
    <x v="83"/>
    <x v="1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x v="684"/>
    <x v="0"/>
    <x v="125"/>
    <x v="1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x v="0"/>
    <x v="73"/>
    <x v="1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x v="0"/>
    <x v="78"/>
    <x v="1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x v="0"/>
    <x v="79"/>
    <x v="1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x v="0"/>
    <x v="17"/>
    <x v="1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x v="0"/>
    <x v="226"/>
    <x v="1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x v="0"/>
    <x v="69"/>
    <x v="1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x v="0"/>
    <x v="73"/>
    <x v="1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x v="0"/>
    <x v="227"/>
    <x v="1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x v="0"/>
    <x v="228"/>
    <x v="1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x v="0"/>
    <x v="63"/>
    <x v="1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x v="0"/>
    <x v="63"/>
    <x v="1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x v="696"/>
    <x v="0"/>
    <x v="29"/>
    <x v="1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x v="0"/>
    <x v="229"/>
    <x v="1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x v="0"/>
    <x v="60"/>
    <x v="1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x v="0"/>
    <x v="230"/>
    <x v="1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x v="0"/>
    <x v="162"/>
    <x v="1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x v="0"/>
    <x v="64"/>
    <x v="1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x v="0"/>
    <x v="77"/>
    <x v="1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x v="0"/>
    <x v="63"/>
    <x v="1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x v="0"/>
    <x v="80"/>
    <x v="1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x v="3"/>
    <n v="1484999278"/>
    <x v="705"/>
    <x v="0"/>
    <x v="81"/>
    <x v="1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x v="0"/>
    <x v="78"/>
    <x v="1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x v="0"/>
    <x v="231"/>
    <x v="1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x v="0"/>
    <x v="232"/>
    <x v="1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x v="0"/>
    <x v="84"/>
    <x v="1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x v="0"/>
    <x v="78"/>
    <x v="1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x v="0"/>
    <x v="233"/>
    <x v="1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x v="0"/>
    <x v="80"/>
    <x v="1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x v="0"/>
    <x v="29"/>
    <x v="1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x v="0"/>
    <x v="33"/>
    <x v="1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x v="0"/>
    <x v="8"/>
    <x v="1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x v="0"/>
    <x v="38"/>
    <x v="1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x v="0"/>
    <n v="1409949002"/>
    <x v="717"/>
    <x v="0"/>
    <x v="80"/>
    <x v="1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x v="0"/>
    <x v="80"/>
    <x v="1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x v="0"/>
    <x v="73"/>
    <x v="1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x v="0"/>
    <x v="14"/>
    <x v="0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x v="0"/>
    <x v="46"/>
    <x v="0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x v="0"/>
    <x v="234"/>
    <x v="0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x v="0"/>
    <x v="61"/>
    <x v="0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x v="0"/>
    <x v="235"/>
    <x v="0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x v="0"/>
    <x v="205"/>
    <x v="0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x v="0"/>
    <x v="2"/>
    <x v="0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x v="0"/>
    <x v="184"/>
    <x v="0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x v="0"/>
    <x v="208"/>
    <x v="0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x v="0"/>
    <x v="148"/>
    <x v="0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x v="730"/>
    <x v="0"/>
    <x v="236"/>
    <x v="0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x v="0"/>
    <x v="26"/>
    <x v="0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x v="0"/>
    <x v="62"/>
    <x v="0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x v="0"/>
    <x v="39"/>
    <x v="0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x v="0"/>
    <x v="7"/>
    <x v="0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x v="0"/>
    <x v="194"/>
    <x v="0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x v="0"/>
    <x v="52"/>
    <x v="0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x v="0"/>
    <x v="52"/>
    <x v="0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x v="0"/>
    <x v="14"/>
    <x v="0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x v="0"/>
    <x v="237"/>
    <x v="0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x v="0"/>
    <x v="10"/>
    <x v="0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x v="0"/>
    <x v="225"/>
    <x v="0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x v="0"/>
    <x v="23"/>
    <x v="0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x v="0"/>
    <x v="41"/>
    <x v="0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x v="0"/>
    <x v="95"/>
    <x v="0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x v="0"/>
    <x v="142"/>
    <x v="0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x v="746"/>
    <x v="0"/>
    <x v="174"/>
    <x v="0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x v="0"/>
    <x v="165"/>
    <x v="0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x v="0"/>
    <x v="34"/>
    <x v="0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x v="0"/>
    <x v="238"/>
    <x v="0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x v="0"/>
    <x v="211"/>
    <x v="0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x v="0"/>
    <x v="95"/>
    <x v="0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x v="0"/>
    <x v="217"/>
    <x v="0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x v="0"/>
    <x v="55"/>
    <x v="0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x v="0"/>
    <x v="72"/>
    <x v="0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x v="0"/>
    <x v="32"/>
    <x v="0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x v="0"/>
    <x v="19"/>
    <x v="0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x v="0"/>
    <x v="59"/>
    <x v="0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x v="0"/>
    <x v="10"/>
    <x v="0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x v="0"/>
    <x v="221"/>
    <x v="0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x v="0"/>
    <x v="78"/>
    <x v="1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x v="0"/>
    <x v="79"/>
    <x v="1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x v="0"/>
    <x v="78"/>
    <x v="1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x v="0"/>
    <x v="29"/>
    <x v="1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x v="0"/>
    <x v="78"/>
    <x v="1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x v="0"/>
    <x v="34"/>
    <x v="1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x v="0"/>
    <x v="78"/>
    <x v="1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x v="0"/>
    <x v="83"/>
    <x v="1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x v="0"/>
    <x v="78"/>
    <x v="1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x v="0"/>
    <x v="47"/>
    <x v="1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x v="0"/>
    <x v="78"/>
    <x v="1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x v="0"/>
    <x v="29"/>
    <x v="1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x v="0"/>
    <x v="29"/>
    <x v="1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x v="0"/>
    <x v="84"/>
    <x v="1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x v="0"/>
    <x v="82"/>
    <x v="1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x v="0"/>
    <x v="81"/>
    <x v="1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x v="0"/>
    <x v="7"/>
    <x v="1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x v="0"/>
    <x v="83"/>
    <x v="1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x v="0"/>
    <x v="29"/>
    <x v="1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x v="0"/>
    <x v="79"/>
    <x v="1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x v="0"/>
    <x v="74"/>
    <x v="0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x v="0"/>
    <x v="20"/>
    <x v="0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x v="0"/>
    <x v="25"/>
    <x v="0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x v="0"/>
    <x v="2"/>
    <x v="0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x v="0"/>
    <x v="73"/>
    <x v="0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x v="0"/>
    <x v="60"/>
    <x v="0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x v="0"/>
    <x v="34"/>
    <x v="0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x v="0"/>
    <x v="57"/>
    <x v="0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x v="0"/>
    <x v="69"/>
    <x v="0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x v="0"/>
    <x v="25"/>
    <x v="0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x v="0"/>
    <x v="239"/>
    <x v="0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x v="0"/>
    <x v="130"/>
    <x v="0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x v="0"/>
    <x v="65"/>
    <x v="0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x v="0"/>
    <x v="58"/>
    <x v="0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x v="0"/>
    <x v="28"/>
    <x v="0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x v="0"/>
    <x v="192"/>
    <x v="0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x v="0"/>
    <x v="240"/>
    <x v="0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x v="0"/>
    <x v="26"/>
    <x v="0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x v="0"/>
    <x v="45"/>
    <x v="0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x v="0"/>
    <x v="33"/>
    <x v="0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x v="0"/>
    <x v="66"/>
    <x v="0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x v="0"/>
    <x v="13"/>
    <x v="0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x v="0"/>
    <x v="11"/>
    <x v="0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x v="0"/>
    <x v="44"/>
    <x v="0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x v="0"/>
    <x v="59"/>
    <x v="0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x v="0"/>
    <x v="241"/>
    <x v="0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x v="0"/>
    <n v="1315413339"/>
    <x v="806"/>
    <x v="0"/>
    <x v="26"/>
    <x v="0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x v="0"/>
    <x v="7"/>
    <x v="0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x v="0"/>
    <x v="68"/>
    <x v="0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x v="0"/>
    <x v="47"/>
    <x v="0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x v="0"/>
    <x v="74"/>
    <x v="0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x v="0"/>
    <x v="8"/>
    <x v="0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x v="0"/>
    <x v="51"/>
    <x v="0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x v="0"/>
    <x v="93"/>
    <x v="0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x v="0"/>
    <x v="33"/>
    <x v="0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x v="0"/>
    <x v="68"/>
    <x v="0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x v="0"/>
    <x v="242"/>
    <x v="0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x v="0"/>
    <x v="23"/>
    <x v="0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x v="0"/>
    <x v="10"/>
    <x v="0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x v="0"/>
    <n v="1387601040"/>
    <x v="819"/>
    <x v="0"/>
    <x v="25"/>
    <x v="0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x v="0"/>
    <x v="44"/>
    <x v="0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x v="0"/>
    <x v="76"/>
    <x v="0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x v="0"/>
    <x v="50"/>
    <x v="0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x v="0"/>
    <x v="51"/>
    <x v="0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x v="0"/>
    <x v="241"/>
    <x v="0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x v="0"/>
    <x v="221"/>
    <x v="0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x v="0"/>
    <x v="72"/>
    <x v="0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x v="0"/>
    <x v="202"/>
    <x v="0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x v="0"/>
    <x v="44"/>
    <x v="0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x v="0"/>
    <x v="38"/>
    <x v="0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x v="0"/>
    <x v="58"/>
    <x v="0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x v="0"/>
    <x v="9"/>
    <x v="0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x v="0"/>
    <x v="243"/>
    <x v="0"/>
    <s v="music/rock"/>
    <x v="7"/>
    <x v="629"/>
    <x v="4"/>
    <x v="11"/>
  </r>
  <r>
    <n v="833"/>
    <s v="Ragman Rolls"/>
    <s v="This is an American rock album."/>
    <n v="6000"/>
    <n v="6100"/>
    <x v="0"/>
    <x v="0"/>
    <x v="0"/>
    <n v="1397941475"/>
    <x v="833"/>
    <x v="0"/>
    <x v="14"/>
    <x v="0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x v="0"/>
    <x v="11"/>
    <x v="0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x v="0"/>
    <x v="244"/>
    <x v="0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x v="836"/>
    <x v="0"/>
    <x v="67"/>
    <x v="0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x v="0"/>
    <x v="95"/>
    <x v="0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x v="0"/>
    <x v="42"/>
    <x v="0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x v="0"/>
    <x v="93"/>
    <x v="0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x v="0"/>
    <x v="245"/>
    <x v="0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x v="1"/>
    <x v="225"/>
    <x v="0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x v="1"/>
    <x v="70"/>
    <x v="0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x v="0"/>
    <x v="246"/>
    <x v="0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x v="1"/>
    <x v="180"/>
    <x v="0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x v="0"/>
    <x v="247"/>
    <x v="0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x v="0"/>
    <x v="5"/>
    <x v="0"/>
    <s v="music/metal"/>
    <x v="108"/>
    <x v="643"/>
    <x v="4"/>
    <x v="12"/>
  </r>
  <r>
    <n v="847"/>
    <s v="CENTROPYMUSIC"/>
    <s v="MUSIC WITH MEANING!  MUSIC THAT MATTERS!!!"/>
    <n v="10"/>
    <n v="10"/>
    <x v="0"/>
    <x v="0"/>
    <x v="0"/>
    <n v="1436555376"/>
    <x v="847"/>
    <x v="0"/>
    <x v="29"/>
    <x v="0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x v="0"/>
    <x v="38"/>
    <x v="0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x v="0"/>
    <x v="248"/>
    <x v="0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x v="0"/>
    <x v="182"/>
    <x v="0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x v="0"/>
    <x v="16"/>
    <x v="0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x v="0"/>
    <x v="95"/>
    <x v="0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x v="0"/>
    <x v="73"/>
    <x v="0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x v="0"/>
    <x v="249"/>
    <x v="0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x v="0"/>
    <x v="5"/>
    <x v="0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x v="0"/>
    <x v="33"/>
    <x v="0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x v="0"/>
    <x v="54"/>
    <x v="0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x v="0"/>
    <x v="88"/>
    <x v="0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x v="0"/>
    <x v="15"/>
    <x v="0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x v="0"/>
    <x v="53"/>
    <x v="1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x v="0"/>
    <x v="84"/>
    <x v="1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x v="0"/>
    <x v="80"/>
    <x v="1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x v="0"/>
    <x v="81"/>
    <x v="1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x v="0"/>
    <x v="1"/>
    <x v="1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x v="0"/>
    <x v="84"/>
    <x v="1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x v="0"/>
    <x v="202"/>
    <x v="1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x v="0"/>
    <x v="202"/>
    <x v="1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x v="0"/>
    <x v="29"/>
    <x v="1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x v="0"/>
    <x v="83"/>
    <x v="1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x v="0"/>
    <x v="81"/>
    <x v="1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x v="0"/>
    <x v="8"/>
    <x v="1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x v="0"/>
    <x v="84"/>
    <x v="1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x v="0"/>
    <x v="81"/>
    <x v="1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x v="0"/>
    <x v="64"/>
    <x v="1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x v="0"/>
    <x v="78"/>
    <x v="1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x v="876"/>
    <x v="0"/>
    <x v="43"/>
    <x v="1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x v="0"/>
    <x v="60"/>
    <x v="1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x v="0"/>
    <x v="84"/>
    <x v="1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x v="0"/>
    <x v="209"/>
    <x v="1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x v="0"/>
    <x v="22"/>
    <x v="1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x v="0"/>
    <x v="29"/>
    <x v="1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x v="0"/>
    <x v="25"/>
    <x v="1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x v="0"/>
    <x v="54"/>
    <x v="1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x v="0"/>
    <x v="84"/>
    <x v="1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x v="0"/>
    <x v="64"/>
    <x v="1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x v="0"/>
    <x v="63"/>
    <x v="1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x v="0"/>
    <x v="78"/>
    <x v="1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x v="0"/>
    <x v="80"/>
    <x v="1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x v="0"/>
    <x v="58"/>
    <x v="1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x v="0"/>
    <x v="80"/>
    <x v="1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x v="0"/>
    <x v="82"/>
    <x v="1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x v="0"/>
    <x v="57"/>
    <x v="1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x v="0"/>
    <x v="81"/>
    <x v="1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x v="0"/>
    <x v="28"/>
    <x v="1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x v="0"/>
    <x v="63"/>
    <x v="1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x v="0"/>
    <x v="250"/>
    <x v="1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x v="0"/>
    <x v="78"/>
    <x v="1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x v="0"/>
    <x v="84"/>
    <x v="1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x v="0"/>
    <x v="22"/>
    <x v="1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x v="0"/>
    <x v="84"/>
    <x v="1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x v="0"/>
    <x v="78"/>
    <x v="1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x v="0"/>
    <x v="83"/>
    <x v="1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x v="0"/>
    <x v="80"/>
    <x v="1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x v="0"/>
    <x v="83"/>
    <x v="1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x v="0"/>
    <x v="79"/>
    <x v="1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x v="0"/>
    <x v="78"/>
    <x v="1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x v="0"/>
    <x v="78"/>
    <x v="1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x v="0"/>
    <x v="78"/>
    <x v="1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x v="0"/>
    <x v="22"/>
    <x v="1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x v="0"/>
    <x v="81"/>
    <x v="1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x v="0"/>
    <x v="78"/>
    <x v="1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x v="0"/>
    <x v="84"/>
    <x v="1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x v="0"/>
    <x v="54"/>
    <x v="1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x v="0"/>
    <x v="78"/>
    <x v="1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x v="0"/>
    <x v="82"/>
    <x v="1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x v="0"/>
    <x v="78"/>
    <x v="1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x v="0"/>
    <x v="29"/>
    <x v="1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x v="0"/>
    <x v="73"/>
    <x v="1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x v="0"/>
    <n v="1355930645"/>
    <x v="919"/>
    <x v="0"/>
    <x v="29"/>
    <x v="1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x v="0"/>
    <x v="78"/>
    <x v="1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x v="0"/>
    <x v="9"/>
    <x v="1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x v="0"/>
    <x v="209"/>
    <x v="1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x v="0"/>
    <x v="79"/>
    <x v="1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x v="0"/>
    <x v="41"/>
    <x v="1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x v="0"/>
    <x v="81"/>
    <x v="1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x v="0"/>
    <x v="78"/>
    <x v="1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x v="0"/>
    <x v="78"/>
    <x v="1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x v="0"/>
    <x v="33"/>
    <x v="1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x v="0"/>
    <x v="78"/>
    <x v="1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x v="0"/>
    <x v="81"/>
    <x v="1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x v="0"/>
    <x v="63"/>
    <x v="1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x v="0"/>
    <x v="209"/>
    <x v="1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x v="0"/>
    <x v="84"/>
    <x v="1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x v="0"/>
    <x v="209"/>
    <x v="1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x v="0"/>
    <x v="84"/>
    <x v="1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x v="0"/>
    <x v="78"/>
    <x v="1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x v="0"/>
    <x v="84"/>
    <x v="1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x v="0"/>
    <x v="29"/>
    <x v="1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x v="0"/>
    <x v="84"/>
    <x v="1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x v="0"/>
    <x v="25"/>
    <x v="1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x v="0"/>
    <x v="162"/>
    <x v="1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x v="0"/>
    <x v="38"/>
    <x v="1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x v="0"/>
    <x v="8"/>
    <x v="1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x v="0"/>
    <x v="93"/>
    <x v="1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x v="0"/>
    <x v="38"/>
    <x v="1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x v="0"/>
    <x v="81"/>
    <x v="1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x v="0"/>
    <x v="78"/>
    <x v="1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x v="0"/>
    <x v="22"/>
    <x v="1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x v="0"/>
    <x v="63"/>
    <x v="1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x v="0"/>
    <x v="54"/>
    <x v="1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x v="0"/>
    <n v="1465054872"/>
    <x v="951"/>
    <x v="0"/>
    <x v="212"/>
    <x v="1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x v="0"/>
    <x v="193"/>
    <x v="1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x v="0"/>
    <x v="81"/>
    <x v="1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x v="0"/>
    <x v="196"/>
    <x v="1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x v="0"/>
    <x v="251"/>
    <x v="1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x v="0"/>
    <x v="57"/>
    <x v="1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x v="0"/>
    <x v="63"/>
    <x v="1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x v="0"/>
    <x v="57"/>
    <x v="1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x v="0"/>
    <x v="199"/>
    <x v="1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x v="0"/>
    <x v="101"/>
    <x v="1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x v="0"/>
    <x v="238"/>
    <x v="1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x v="0"/>
    <x v="77"/>
    <x v="1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x v="963"/>
    <x v="0"/>
    <x v="82"/>
    <x v="1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x v="0"/>
    <x v="60"/>
    <x v="1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x v="0"/>
    <x v="79"/>
    <x v="1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x v="0"/>
    <x v="209"/>
    <x v="1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x v="0"/>
    <x v="75"/>
    <x v="1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x v="0"/>
    <x v="80"/>
    <x v="1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x v="0"/>
    <x v="202"/>
    <x v="1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x v="0"/>
    <x v="25"/>
    <x v="1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x v="0"/>
    <x v="81"/>
    <x v="1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x v="0"/>
    <x v="43"/>
    <x v="1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x v="0"/>
    <x v="22"/>
    <x v="1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x v="0"/>
    <x v="83"/>
    <x v="1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x v="0"/>
    <x v="54"/>
    <x v="1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x v="0"/>
    <x v="59"/>
    <x v="1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x v="0"/>
    <x v="8"/>
    <x v="1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x v="0"/>
    <x v="252"/>
    <x v="1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x v="0"/>
    <x v="93"/>
    <x v="1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x v="0"/>
    <x v="162"/>
    <x v="1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x v="0"/>
    <x v="80"/>
    <x v="1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x v="0"/>
    <x v="83"/>
    <x v="1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x v="0"/>
    <x v="122"/>
    <x v="1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x v="0"/>
    <x v="83"/>
    <x v="1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x v="0"/>
    <x v="23"/>
    <x v="1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x v="0"/>
    <x v="23"/>
    <x v="1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x v="0"/>
    <x v="14"/>
    <x v="1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x v="0"/>
    <x v="78"/>
    <x v="1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x v="0"/>
    <n v="1475101495"/>
    <x v="989"/>
    <x v="0"/>
    <x v="58"/>
    <x v="1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x v="0"/>
    <x v="84"/>
    <x v="1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x v="0"/>
    <x v="63"/>
    <x v="1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x v="0"/>
    <x v="80"/>
    <x v="1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x v="0"/>
    <x v="193"/>
    <x v="1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x v="0"/>
    <x v="202"/>
    <x v="1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x v="0"/>
    <x v="82"/>
    <x v="1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x v="0"/>
    <x v="81"/>
    <x v="1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x v="997"/>
    <x v="0"/>
    <x v="22"/>
    <x v="1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x v="0"/>
    <x v="194"/>
    <x v="1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x v="0"/>
    <x v="244"/>
    <x v="1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x v="0"/>
    <x v="79"/>
    <x v="1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x v="0"/>
    <x v="80"/>
    <x v="1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x v="0"/>
    <x v="19"/>
    <x v="1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x v="0"/>
    <x v="41"/>
    <x v="1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x v="0"/>
    <x v="195"/>
    <x v="1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x v="0"/>
    <x v="253"/>
    <x v="1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x v="0"/>
    <x v="22"/>
    <x v="1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x v="0"/>
    <x v="88"/>
    <x v="1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x v="0"/>
    <x v="29"/>
    <x v="1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x v="0"/>
    <x v="21"/>
    <x v="1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x v="0"/>
    <x v="80"/>
    <x v="1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x v="0"/>
    <x v="29"/>
    <x v="1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x v="0"/>
    <x v="254"/>
    <x v="1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x v="0"/>
    <x v="240"/>
    <x v="1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x v="0"/>
    <x v="38"/>
    <x v="1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x v="0"/>
    <x v="79"/>
    <x v="1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x v="0"/>
    <x v="44"/>
    <x v="1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x v="0"/>
    <x v="255"/>
    <x v="1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x v="0"/>
    <x v="63"/>
    <x v="1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x v="0"/>
    <x v="256"/>
    <x v="1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x v="0"/>
    <x v="209"/>
    <x v="0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x v="1"/>
    <x v="257"/>
    <x v="0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x v="1"/>
    <x v="142"/>
    <x v="0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x v="0"/>
    <x v="132"/>
    <x v="0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x v="1"/>
    <x v="42"/>
    <x v="0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x v="1"/>
    <x v="258"/>
    <x v="0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x v="1"/>
    <x v="259"/>
    <x v="0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x v="1"/>
    <x v="112"/>
    <x v="0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x v="1"/>
    <x v="260"/>
    <x v="0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x v="0"/>
    <x v="261"/>
    <x v="0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x v="1030"/>
    <x v="0"/>
    <x v="180"/>
    <x v="0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x v="0"/>
    <x v="221"/>
    <x v="0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x v="1032"/>
    <x v="0"/>
    <x v="93"/>
    <x v="0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x v="0"/>
    <x v="74"/>
    <x v="0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x v="0"/>
    <x v="262"/>
    <x v="0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x v="0"/>
    <x v="88"/>
    <x v="0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x v="0"/>
    <x v="263"/>
    <x v="0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x v="0"/>
    <x v="64"/>
    <x v="0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x v="0"/>
    <x v="42"/>
    <x v="0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x v="0"/>
    <x v="209"/>
    <x v="0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x v="0"/>
    <x v="29"/>
    <x v="1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x v="0"/>
    <x v="78"/>
    <x v="1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x v="0"/>
    <x v="29"/>
    <x v="1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x v="0"/>
    <x v="264"/>
    <x v="1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x v="0"/>
    <x v="84"/>
    <x v="1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x v="0"/>
    <x v="22"/>
    <x v="1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x v="0"/>
    <x v="78"/>
    <x v="1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x v="0"/>
    <x v="29"/>
    <x v="1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x v="0"/>
    <x v="80"/>
    <x v="1"/>
    <s v="journalism/audio"/>
    <x v="60"/>
    <x v="444"/>
    <x v="5"/>
    <x v="16"/>
  </r>
  <r>
    <n v="1049"/>
    <s v="J1 (Canceled)"/>
    <s v="------"/>
    <n v="12000"/>
    <n v="0"/>
    <x v="1"/>
    <x v="0"/>
    <x v="0"/>
    <n v="1455272445"/>
    <x v="1049"/>
    <x v="0"/>
    <x v="78"/>
    <x v="1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x v="0"/>
    <x v="78"/>
    <x v="1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x v="0"/>
    <x v="78"/>
    <x v="1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x v="0"/>
    <x v="78"/>
    <x v="1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x v="0"/>
    <x v="29"/>
    <x v="1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x v="0"/>
    <x v="78"/>
    <x v="1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x v="0"/>
    <x v="78"/>
    <x v="1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x v="0"/>
    <x v="78"/>
    <x v="1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x v="0"/>
    <x v="78"/>
    <x v="1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x v="0"/>
    <x v="78"/>
    <x v="1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x v="1059"/>
    <x v="0"/>
    <x v="78"/>
    <x v="1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x v="0"/>
    <x v="29"/>
    <x v="1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x v="0"/>
    <x v="78"/>
    <x v="1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x v="1062"/>
    <x v="0"/>
    <x v="80"/>
    <x v="1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x v="0"/>
    <x v="78"/>
    <x v="1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x v="0"/>
    <x v="252"/>
    <x v="1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x v="0"/>
    <x v="81"/>
    <x v="1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x v="0"/>
    <x v="265"/>
    <x v="1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x v="0"/>
    <x v="73"/>
    <x v="1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x v="0"/>
    <x v="80"/>
    <x v="1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x v="0"/>
    <x v="64"/>
    <x v="1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x v="0"/>
    <x v="84"/>
    <x v="1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x v="0"/>
    <x v="78"/>
    <x v="1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x v="0"/>
    <x v="80"/>
    <x v="1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x v="0"/>
    <x v="29"/>
    <x v="1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x v="0"/>
    <x v="209"/>
    <x v="1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x v="0"/>
    <x v="83"/>
    <x v="1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x v="0"/>
    <x v="266"/>
    <x v="1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x v="0"/>
    <x v="157"/>
    <x v="1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x v="0"/>
    <x v="81"/>
    <x v="1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x v="0"/>
    <x v="59"/>
    <x v="1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x v="0"/>
    <x v="15"/>
    <x v="1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x v="0"/>
    <x v="80"/>
    <x v="1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x v="0"/>
    <x v="83"/>
    <x v="1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x v="0"/>
    <x v="29"/>
    <x v="1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x v="0"/>
    <n v="1407534804"/>
    <x v="1084"/>
    <x v="0"/>
    <x v="78"/>
    <x v="1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x v="0"/>
    <x v="82"/>
    <x v="1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x v="0"/>
    <n v="1408913291"/>
    <x v="1086"/>
    <x v="0"/>
    <x v="84"/>
    <x v="1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x v="0"/>
    <x v="78"/>
    <x v="1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x v="0"/>
    <x v="206"/>
    <x v="1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x v="1089"/>
    <x v="0"/>
    <x v="72"/>
    <x v="1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x v="0"/>
    <x v="29"/>
    <x v="1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x v="0"/>
    <x v="84"/>
    <x v="1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x v="0"/>
    <x v="63"/>
    <x v="1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x v="0"/>
    <x v="80"/>
    <x v="1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x v="0"/>
    <x v="74"/>
    <x v="1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x v="0"/>
    <x v="225"/>
    <x v="1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x v="0"/>
    <x v="60"/>
    <x v="1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x v="0"/>
    <x v="63"/>
    <x v="1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x v="0"/>
    <x v="19"/>
    <x v="1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x v="0"/>
    <x v="29"/>
    <x v="1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x v="0"/>
    <x v="73"/>
    <x v="1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x v="0"/>
    <x v="79"/>
    <x v="1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x v="0"/>
    <x v="54"/>
    <x v="1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x v="0"/>
    <x v="41"/>
    <x v="1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x v="0"/>
    <x v="77"/>
    <x v="1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x v="0"/>
    <x v="9"/>
    <x v="1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x v="0"/>
    <x v="63"/>
    <x v="1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x v="0"/>
    <x v="78"/>
    <x v="1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x v="0"/>
    <x v="64"/>
    <x v="1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x v="0"/>
    <x v="83"/>
    <x v="1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x v="0"/>
    <x v="202"/>
    <x v="1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x v="0"/>
    <x v="29"/>
    <x v="1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x v="0"/>
    <x v="267"/>
    <x v="1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x v="0"/>
    <x v="29"/>
    <x v="1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x v="0"/>
    <x v="83"/>
    <x v="1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x v="0"/>
    <x v="80"/>
    <x v="1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x v="0"/>
    <x v="73"/>
    <x v="1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x v="0"/>
    <x v="22"/>
    <x v="1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x v="0"/>
    <x v="83"/>
    <x v="1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x v="0"/>
    <x v="29"/>
    <x v="1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x v="0"/>
    <x v="78"/>
    <x v="1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x v="0"/>
    <x v="81"/>
    <x v="1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x v="0"/>
    <x v="78"/>
    <x v="1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x v="0"/>
    <x v="83"/>
    <x v="1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x v="0"/>
    <x v="63"/>
    <x v="1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x v="0"/>
    <x v="78"/>
    <x v="1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x v="0"/>
    <x v="84"/>
    <x v="1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x v="0"/>
    <x v="23"/>
    <x v="1"/>
    <s v="games/mobile games"/>
    <x v="53"/>
    <x v="815"/>
    <x v="6"/>
    <x v="18"/>
  </r>
  <r>
    <n v="1128"/>
    <s v="Flying Turds"/>
    <s v="#havingfunFTW"/>
    <n v="1000"/>
    <n v="1"/>
    <x v="2"/>
    <x v="1"/>
    <x v="1"/>
    <n v="1407425717"/>
    <x v="1128"/>
    <x v="0"/>
    <x v="29"/>
    <x v="1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x v="0"/>
    <x v="84"/>
    <x v="1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x v="0"/>
    <x v="83"/>
    <x v="1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x v="0"/>
    <x v="78"/>
    <x v="1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x v="0"/>
    <x v="62"/>
    <x v="1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x v="0"/>
    <x v="29"/>
    <x v="1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x v="0"/>
    <x v="29"/>
    <x v="1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x v="0"/>
    <x v="29"/>
    <x v="1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x v="0"/>
    <x v="79"/>
    <x v="1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x v="0"/>
    <x v="70"/>
    <x v="1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x v="0"/>
    <x v="80"/>
    <x v="1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x v="0"/>
    <x v="29"/>
    <x v="1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x v="0"/>
    <x v="78"/>
    <x v="1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x v="3"/>
    <n v="1436460450"/>
    <x v="1141"/>
    <x v="0"/>
    <x v="78"/>
    <x v="1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x v="0"/>
    <x v="78"/>
    <x v="1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x v="0"/>
    <x v="22"/>
    <x v="1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x v="0"/>
    <x v="78"/>
    <x v="1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x v="0"/>
    <x v="29"/>
    <x v="1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x v="0"/>
    <x v="8"/>
    <x v="1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x v="0"/>
    <x v="78"/>
    <x v="1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x v="0"/>
    <x v="83"/>
    <x v="1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x v="1149"/>
    <x v="0"/>
    <x v="84"/>
    <x v="1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x v="0"/>
    <x v="79"/>
    <x v="1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x v="0"/>
    <x v="78"/>
    <x v="1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x v="1152"/>
    <x v="0"/>
    <x v="41"/>
    <x v="1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x v="0"/>
    <x v="29"/>
    <x v="1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x v="0"/>
    <x v="83"/>
    <x v="1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x v="0"/>
    <x v="22"/>
    <x v="1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x v="0"/>
    <x v="78"/>
    <x v="1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x v="0"/>
    <x v="83"/>
    <x v="1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x v="0"/>
    <x v="83"/>
    <x v="1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x v="0"/>
    <x v="78"/>
    <x v="1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x v="0"/>
    <x v="10"/>
    <x v="1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x v="0"/>
    <x v="78"/>
    <x v="1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x v="0"/>
    <x v="84"/>
    <x v="1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x v="0"/>
    <x v="78"/>
    <x v="1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x v="0"/>
    <x v="78"/>
    <x v="1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x v="0"/>
    <x v="20"/>
    <x v="1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x v="0"/>
    <x v="22"/>
    <x v="1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x v="0"/>
    <x v="38"/>
    <x v="1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x v="0"/>
    <x v="83"/>
    <x v="1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x v="0"/>
    <x v="83"/>
    <x v="1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x v="0"/>
    <x v="84"/>
    <x v="1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x v="0"/>
    <x v="29"/>
    <x v="1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x v="1172"/>
    <x v="0"/>
    <x v="78"/>
    <x v="1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x v="0"/>
    <x v="29"/>
    <x v="1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x v="0"/>
    <x v="10"/>
    <x v="1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x v="0"/>
    <x v="82"/>
    <x v="1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x v="0"/>
    <x v="29"/>
    <x v="1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x v="0"/>
    <x v="78"/>
    <x v="1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x v="0"/>
    <x v="29"/>
    <x v="1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x v="0"/>
    <x v="81"/>
    <x v="1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x v="0"/>
    <x v="268"/>
    <x v="1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x v="1181"/>
    <x v="0"/>
    <x v="83"/>
    <x v="1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x v="0"/>
    <x v="80"/>
    <x v="1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x v="0"/>
    <x v="83"/>
    <x v="1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x v="0"/>
    <x v="269"/>
    <x v="0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x v="0"/>
    <x v="112"/>
    <x v="0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x v="0"/>
    <x v="252"/>
    <x v="0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x v="0"/>
    <x v="16"/>
    <x v="0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x v="0"/>
    <x v="268"/>
    <x v="0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x v="0"/>
    <x v="48"/>
    <x v="0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x v="0"/>
    <x v="62"/>
    <x v="0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x v="0"/>
    <x v="51"/>
    <x v="0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x v="0"/>
    <x v="41"/>
    <x v="0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x v="0"/>
    <x v="270"/>
    <x v="0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x v="0"/>
    <x v="271"/>
    <x v="0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x v="0"/>
    <x v="203"/>
    <x v="0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x v="0"/>
    <x v="272"/>
    <x v="0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x v="0"/>
    <x v="100"/>
    <x v="0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x v="0"/>
    <x v="157"/>
    <x v="0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x v="0"/>
    <x v="82"/>
    <x v="0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x v="0"/>
    <x v="273"/>
    <x v="0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x v="0"/>
    <x v="112"/>
    <x v="0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x v="0"/>
    <x v="197"/>
    <x v="0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x v="0"/>
    <x v="21"/>
    <x v="0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x v="0"/>
    <x v="7"/>
    <x v="0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x v="0"/>
    <x v="95"/>
    <x v="0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x v="0"/>
    <x v="58"/>
    <x v="0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x v="3"/>
    <n v="1459418400"/>
    <x v="1207"/>
    <x v="0"/>
    <x v="261"/>
    <x v="0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x v="0"/>
    <x v="11"/>
    <x v="0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x v="0"/>
    <x v="67"/>
    <x v="0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x v="1210"/>
    <x v="0"/>
    <x v="273"/>
    <x v="0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x v="0"/>
    <x v="79"/>
    <x v="0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x v="0"/>
    <x v="183"/>
    <x v="0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x v="0"/>
    <x v="52"/>
    <x v="0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x v="0"/>
    <x v="20"/>
    <x v="0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x v="0"/>
    <x v="274"/>
    <x v="0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x v="0"/>
    <x v="147"/>
    <x v="0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x v="0"/>
    <x v="275"/>
    <x v="0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x v="0"/>
    <x v="30"/>
    <x v="0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x v="0"/>
    <x v="35"/>
    <x v="0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x v="0"/>
    <x v="205"/>
    <x v="0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x v="0"/>
    <x v="273"/>
    <x v="0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x v="1222"/>
    <x v="0"/>
    <x v="276"/>
    <x v="0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x v="0"/>
    <x v="277"/>
    <x v="0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x v="0"/>
    <x v="59"/>
    <x v="1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x v="0"/>
    <x v="83"/>
    <x v="1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x v="0"/>
    <x v="244"/>
    <x v="1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x v="0"/>
    <x v="78"/>
    <x v="1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x v="0"/>
    <x v="54"/>
    <x v="1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x v="0"/>
    <x v="29"/>
    <x v="1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x v="0"/>
    <x v="78"/>
    <x v="1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x v="0"/>
    <x v="78"/>
    <x v="1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x v="0"/>
    <x v="29"/>
    <x v="1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x v="0"/>
    <x v="79"/>
    <x v="1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x v="0"/>
    <x v="78"/>
    <x v="1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x v="0"/>
    <x v="79"/>
    <x v="1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x v="1236"/>
    <x v="0"/>
    <x v="78"/>
    <x v="1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x v="0"/>
    <x v="78"/>
    <x v="1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x v="0"/>
    <x v="83"/>
    <x v="1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x v="0"/>
    <x v="78"/>
    <x v="1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x v="0"/>
    <x v="22"/>
    <x v="1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x v="0"/>
    <x v="69"/>
    <x v="1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x v="0"/>
    <x v="29"/>
    <x v="1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x v="0"/>
    <x v="44"/>
    <x v="1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x v="1"/>
    <x v="43"/>
    <x v="0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x v="1"/>
    <x v="57"/>
    <x v="0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x v="1"/>
    <x v="162"/>
    <x v="0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x v="1"/>
    <x v="133"/>
    <x v="0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x v="1"/>
    <x v="211"/>
    <x v="0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x v="1"/>
    <x v="75"/>
    <x v="0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x v="1"/>
    <x v="278"/>
    <x v="0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x v="1"/>
    <x v="142"/>
    <x v="0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x v="1"/>
    <x v="261"/>
    <x v="0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x v="1"/>
    <x v="279"/>
    <x v="0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x v="1"/>
    <x v="261"/>
    <x v="0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x v="1"/>
    <x v="280"/>
    <x v="0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x v="1"/>
    <x v="281"/>
    <x v="0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x v="1"/>
    <x v="282"/>
    <x v="0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x v="1"/>
    <x v="283"/>
    <x v="0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x v="1"/>
    <x v="93"/>
    <x v="0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x v="1"/>
    <x v="142"/>
    <x v="0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x v="1"/>
    <x v="47"/>
    <x v="0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x v="1"/>
    <x v="217"/>
    <x v="0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x v="1"/>
    <x v="14"/>
    <x v="0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x v="1"/>
    <x v="69"/>
    <x v="0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x v="1"/>
    <x v="36"/>
    <x v="0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x v="1"/>
    <x v="133"/>
    <x v="0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x v="1"/>
    <x v="180"/>
    <x v="0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x v="1"/>
    <x v="0"/>
    <x v="0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x v="1"/>
    <x v="190"/>
    <x v="0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x v="1"/>
    <x v="39"/>
    <x v="0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x v="1"/>
    <x v="162"/>
    <x v="0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x v="1"/>
    <x v="33"/>
    <x v="0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x v="1"/>
    <x v="241"/>
    <x v="0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x v="1"/>
    <x v="284"/>
    <x v="0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x v="1"/>
    <x v="285"/>
    <x v="0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x v="1"/>
    <x v="32"/>
    <x v="0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x v="1"/>
    <x v="286"/>
    <x v="0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x v="1"/>
    <x v="245"/>
    <x v="0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x v="1"/>
    <x v="143"/>
    <x v="0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x v="1"/>
    <x v="208"/>
    <x v="0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x v="1"/>
    <x v="142"/>
    <x v="0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x v="1"/>
    <x v="220"/>
    <x v="0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x v="1"/>
    <x v="19"/>
    <x v="0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x v="0"/>
    <x v="162"/>
    <x v="0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x v="0"/>
    <x v="287"/>
    <x v="0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x v="0"/>
    <x v="9"/>
    <x v="0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x v="0"/>
    <x v="20"/>
    <x v="0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x v="0"/>
    <x v="42"/>
    <x v="0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x v="0"/>
    <x v="47"/>
    <x v="0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x v="0"/>
    <x v="48"/>
    <x v="0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x v="0"/>
    <x v="288"/>
    <x v="0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x v="0"/>
    <x v="47"/>
    <x v="0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x v="0"/>
    <x v="148"/>
    <x v="0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x v="0"/>
    <x v="19"/>
    <x v="0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x v="0"/>
    <x v="31"/>
    <x v="0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x v="0"/>
    <x v="23"/>
    <x v="0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x v="0"/>
    <x v="146"/>
    <x v="0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x v="0"/>
    <x v="51"/>
    <x v="0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x v="0"/>
    <x v="58"/>
    <x v="0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x v="0"/>
    <x v="54"/>
    <x v="0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x v="0"/>
    <x v="60"/>
    <x v="0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x v="0"/>
    <x v="133"/>
    <x v="0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x v="1303"/>
    <x v="0"/>
    <x v="52"/>
    <x v="0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x v="0"/>
    <x v="201"/>
    <x v="1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x v="0"/>
    <x v="48"/>
    <x v="1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x v="0"/>
    <x v="289"/>
    <x v="1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x v="0"/>
    <x v="43"/>
    <x v="1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x v="0"/>
    <x v="44"/>
    <x v="1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x v="0"/>
    <x v="2"/>
    <x v="1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x v="0"/>
    <x v="54"/>
    <x v="1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x v="0"/>
    <x v="61"/>
    <x v="1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x v="0"/>
    <x v="29"/>
    <x v="1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x v="0"/>
    <x v="259"/>
    <x v="1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x v="0"/>
    <x v="202"/>
    <x v="1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x v="0"/>
    <x v="290"/>
    <x v="1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x v="0"/>
    <x v="29"/>
    <x v="1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x v="0"/>
    <x v="10"/>
    <x v="1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x v="0"/>
    <x v="125"/>
    <x v="1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x v="0"/>
    <x v="82"/>
    <x v="1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x v="0"/>
    <x v="83"/>
    <x v="1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x v="0"/>
    <x v="63"/>
    <x v="1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x v="0"/>
    <x v="80"/>
    <x v="1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x v="0"/>
    <x v="34"/>
    <x v="1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x v="0"/>
    <x v="240"/>
    <x v="1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x v="0"/>
    <x v="22"/>
    <x v="1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x v="0"/>
    <x v="202"/>
    <x v="1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x v="0"/>
    <x v="14"/>
    <x v="1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x v="0"/>
    <x v="41"/>
    <x v="1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x v="0"/>
    <x v="82"/>
    <x v="1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x v="0"/>
    <x v="133"/>
    <x v="1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x v="0"/>
    <x v="69"/>
    <x v="1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x v="0"/>
    <x v="78"/>
    <x v="1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x v="0"/>
    <x v="78"/>
    <x v="1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x v="0"/>
    <x v="222"/>
    <x v="1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x v="0"/>
    <x v="38"/>
    <x v="1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x v="0"/>
    <x v="291"/>
    <x v="1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x v="0"/>
    <x v="205"/>
    <x v="1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x v="0"/>
    <x v="41"/>
    <x v="1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x v="1339"/>
    <x v="0"/>
    <x v="77"/>
    <x v="1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x v="0"/>
    <x v="78"/>
    <x v="1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x v="0"/>
    <x v="67"/>
    <x v="1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x v="0"/>
    <x v="29"/>
    <x v="1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x v="0"/>
    <x v="292"/>
    <x v="1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x v="0"/>
    <x v="237"/>
    <x v="0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x v="0"/>
    <x v="63"/>
    <x v="0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x v="0"/>
    <x v="184"/>
    <x v="0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x v="0"/>
    <x v="162"/>
    <x v="0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x v="0"/>
    <x v="55"/>
    <x v="0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x v="0"/>
    <x v="293"/>
    <x v="0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x v="0"/>
    <x v="76"/>
    <x v="0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x v="0"/>
    <x v="148"/>
    <x v="0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x v="0"/>
    <x v="294"/>
    <x v="0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x v="0"/>
    <x v="288"/>
    <x v="0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x v="0"/>
    <x v="31"/>
    <x v="0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x v="0"/>
    <x v="212"/>
    <x v="0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x v="0"/>
    <x v="45"/>
    <x v="0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x v="0"/>
    <x v="71"/>
    <x v="0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x v="0"/>
    <x v="72"/>
    <x v="0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x v="0"/>
    <x v="10"/>
    <x v="0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x v="0"/>
    <x v="75"/>
    <x v="0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x v="0"/>
    <x v="295"/>
    <x v="0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x v="0"/>
    <x v="20"/>
    <x v="0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x v="0"/>
    <x v="81"/>
    <x v="0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x v="0"/>
    <x v="296"/>
    <x v="0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x v="0"/>
    <x v="297"/>
    <x v="0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x v="0"/>
    <n v="1417049663"/>
    <x v="1366"/>
    <x v="0"/>
    <x v="206"/>
    <x v="0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x v="0"/>
    <x v="240"/>
    <x v="0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x v="0"/>
    <x v="45"/>
    <x v="0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x v="0"/>
    <x v="298"/>
    <x v="0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x v="0"/>
    <x v="9"/>
    <x v="0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x v="0"/>
    <x v="16"/>
    <x v="0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x v="0"/>
    <x v="38"/>
    <x v="0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x v="0"/>
    <x v="47"/>
    <x v="0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x v="0"/>
    <x v="36"/>
    <x v="0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x v="0"/>
    <x v="280"/>
    <x v="0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x v="0"/>
    <x v="129"/>
    <x v="0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x v="0"/>
    <x v="162"/>
    <x v="0"/>
    <s v="music/rock"/>
    <x v="31"/>
    <x v="1003"/>
    <x v="4"/>
    <x v="11"/>
  </r>
  <r>
    <n v="1378"/>
    <s v="SIX BY SEVEN"/>
    <s v="A psychedelic post rock masterpiece!"/>
    <n v="2000"/>
    <n v="4067"/>
    <x v="0"/>
    <x v="1"/>
    <x v="1"/>
    <n v="1470075210"/>
    <x v="1378"/>
    <x v="0"/>
    <x v="182"/>
    <x v="0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x v="0"/>
    <x v="299"/>
    <x v="0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x v="0"/>
    <x v="81"/>
    <x v="0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x v="0"/>
    <x v="196"/>
    <x v="0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x v="0"/>
    <x v="265"/>
    <x v="0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x v="0"/>
    <x v="251"/>
    <x v="0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x v="0"/>
    <x v="287"/>
    <x v="0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x v="0"/>
    <x v="179"/>
    <x v="0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x v="0"/>
    <x v="25"/>
    <x v="0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x v="0"/>
    <x v="76"/>
    <x v="0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x v="0"/>
    <x v="300"/>
    <x v="0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x v="0"/>
    <x v="69"/>
    <x v="0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x v="0"/>
    <x v="10"/>
    <x v="0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x v="0"/>
    <x v="62"/>
    <x v="0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x v="0"/>
    <x v="201"/>
    <x v="0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x v="0"/>
    <n v="1470068523"/>
    <x v="1393"/>
    <x v="0"/>
    <x v="47"/>
    <x v="0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x v="0"/>
    <x v="57"/>
    <x v="0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x v="0"/>
    <n v="1484430481"/>
    <x v="1395"/>
    <x v="0"/>
    <x v="141"/>
    <x v="0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x v="0"/>
    <x v="196"/>
    <x v="0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x v="0"/>
    <x v="150"/>
    <x v="0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x v="0"/>
    <x v="71"/>
    <x v="0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x v="0"/>
    <x v="192"/>
    <x v="0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x v="0"/>
    <x v="69"/>
    <x v="0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x v="0"/>
    <x v="301"/>
    <x v="0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x v="0"/>
    <x v="116"/>
    <x v="0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x v="0"/>
    <x v="36"/>
    <x v="0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x v="1"/>
    <x v="81"/>
    <x v="1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x v="1"/>
    <x v="57"/>
    <x v="1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x v="3"/>
    <n v="1449914400"/>
    <x v="1406"/>
    <x v="0"/>
    <x v="83"/>
    <x v="1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x v="0"/>
    <x v="84"/>
    <x v="1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x v="0"/>
    <x v="79"/>
    <x v="1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x v="0"/>
    <x v="78"/>
    <x v="1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x v="0"/>
    <x v="29"/>
    <x v="1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x v="0"/>
    <x v="83"/>
    <x v="1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x v="0"/>
    <x v="62"/>
    <x v="1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x v="0"/>
    <x v="29"/>
    <x v="1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x v="0"/>
    <x v="29"/>
    <x v="1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x v="0"/>
    <x v="82"/>
    <x v="1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x v="0"/>
    <x v="78"/>
    <x v="1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x v="0"/>
    <x v="84"/>
    <x v="1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x v="0"/>
    <x v="29"/>
    <x v="1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x v="0"/>
    <x v="73"/>
    <x v="1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x v="0"/>
    <x v="83"/>
    <x v="1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x v="0"/>
    <x v="84"/>
    <x v="1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x v="0"/>
    <x v="84"/>
    <x v="1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x v="0"/>
    <x v="29"/>
    <x v="1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x v="0"/>
    <x v="25"/>
    <x v="1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x v="0"/>
    <x v="78"/>
    <x v="1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x v="0"/>
    <x v="78"/>
    <x v="1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x v="0"/>
    <x v="80"/>
    <x v="1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x v="0"/>
    <x v="83"/>
    <x v="1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x v="0"/>
    <x v="78"/>
    <x v="1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x v="0"/>
    <x v="81"/>
    <x v="1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x v="0"/>
    <x v="5"/>
    <x v="1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x v="0"/>
    <x v="78"/>
    <x v="1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x v="0"/>
    <x v="73"/>
    <x v="1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x v="0"/>
    <x v="202"/>
    <x v="1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x v="0"/>
    <x v="84"/>
    <x v="1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x v="0"/>
    <x v="84"/>
    <x v="1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x v="0"/>
    <x v="19"/>
    <x v="1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x v="0"/>
    <x v="22"/>
    <x v="1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x v="0"/>
    <x v="79"/>
    <x v="1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x v="0"/>
    <x v="29"/>
    <x v="1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x v="0"/>
    <x v="83"/>
    <x v="1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x v="0"/>
    <x v="78"/>
    <x v="1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x v="0"/>
    <x v="78"/>
    <x v="1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x v="0"/>
    <x v="78"/>
    <x v="1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x v="0"/>
    <x v="78"/>
    <x v="1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x v="0"/>
    <x v="78"/>
    <x v="1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x v="1447"/>
    <x v="0"/>
    <x v="83"/>
    <x v="1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x v="0"/>
    <x v="78"/>
    <x v="1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x v="0"/>
    <x v="78"/>
    <x v="1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x v="0"/>
    <x v="29"/>
    <x v="1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x v="0"/>
    <x v="84"/>
    <x v="1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x v="0"/>
    <x v="78"/>
    <x v="1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x v="0"/>
    <x v="78"/>
    <x v="1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x v="0"/>
    <x v="29"/>
    <x v="1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x v="0"/>
    <x v="63"/>
    <x v="1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x v="1456"/>
    <x v="0"/>
    <x v="83"/>
    <x v="1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x v="0"/>
    <x v="78"/>
    <x v="1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x v="0"/>
    <x v="78"/>
    <x v="1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x v="0"/>
    <x v="78"/>
    <x v="1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x v="0"/>
    <x v="78"/>
    <x v="1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x v="1"/>
    <x v="158"/>
    <x v="0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x v="1"/>
    <x v="3"/>
    <x v="0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x v="1"/>
    <x v="20"/>
    <x v="0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x v="0"/>
    <n v="1361029958"/>
    <x v="1464"/>
    <x v="1"/>
    <x v="302"/>
    <x v="0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x v="1"/>
    <x v="303"/>
    <x v="0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x v="1"/>
    <x v="290"/>
    <x v="0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x v="1"/>
    <x v="304"/>
    <x v="0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x v="1"/>
    <x v="305"/>
    <x v="0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x v="1"/>
    <x v="306"/>
    <x v="0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x v="1"/>
    <x v="75"/>
    <x v="0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x v="1"/>
    <x v="307"/>
    <x v="0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x v="1"/>
    <x v="226"/>
    <x v="0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x v="0"/>
    <n v="1330644639"/>
    <x v="1473"/>
    <x v="1"/>
    <x v="5"/>
    <x v="0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x v="1"/>
    <x v="88"/>
    <x v="0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x v="1"/>
    <x v="308"/>
    <x v="0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x v="1"/>
    <x v="309"/>
    <x v="0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x v="1"/>
    <x v="232"/>
    <x v="0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x v="1"/>
    <x v="310"/>
    <x v="0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x v="1"/>
    <x v="26"/>
    <x v="0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x v="1"/>
    <x v="311"/>
    <x v="0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x v="0"/>
    <x v="79"/>
    <x v="1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x v="0"/>
    <x v="29"/>
    <x v="1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x v="0"/>
    <x v="84"/>
    <x v="1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x v="0"/>
    <n v="1342882260"/>
    <x v="1484"/>
    <x v="0"/>
    <x v="78"/>
    <x v="1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x v="0"/>
    <x v="83"/>
    <x v="1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x v="0"/>
    <x v="83"/>
    <x v="1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x v="0"/>
    <x v="78"/>
    <x v="1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x v="0"/>
    <x v="79"/>
    <x v="1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x v="0"/>
    <x v="78"/>
    <x v="1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x v="0"/>
    <x v="10"/>
    <x v="1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x v="0"/>
    <x v="29"/>
    <x v="1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x v="0"/>
    <x v="84"/>
    <x v="1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x v="0"/>
    <x v="78"/>
    <x v="1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x v="0"/>
    <x v="202"/>
    <x v="1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x v="0"/>
    <x v="78"/>
    <x v="1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x v="0"/>
    <x v="78"/>
    <x v="1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x v="0"/>
    <x v="29"/>
    <x v="1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x v="0"/>
    <x v="83"/>
    <x v="1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x v="0"/>
    <x v="29"/>
    <x v="1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x v="0"/>
    <x v="41"/>
    <x v="1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x v="1"/>
    <x v="312"/>
    <x v="0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x v="1"/>
    <x v="313"/>
    <x v="0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x v="1"/>
    <x v="26"/>
    <x v="0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x v="1"/>
    <x v="314"/>
    <x v="0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x v="1"/>
    <x v="315"/>
    <x v="0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x v="1"/>
    <x v="68"/>
    <x v="0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x v="1"/>
    <x v="51"/>
    <x v="0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x v="1"/>
    <x v="263"/>
    <x v="0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x v="1"/>
    <x v="193"/>
    <x v="0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x v="1"/>
    <x v="316"/>
    <x v="0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x v="1"/>
    <x v="190"/>
    <x v="0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x v="1"/>
    <x v="317"/>
    <x v="0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x v="1"/>
    <x v="224"/>
    <x v="0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x v="1"/>
    <x v="282"/>
    <x v="0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x v="1"/>
    <x v="160"/>
    <x v="0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x v="1"/>
    <x v="318"/>
    <x v="0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x v="1"/>
    <x v="319"/>
    <x v="0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x v="1"/>
    <x v="163"/>
    <x v="0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x v="1"/>
    <x v="108"/>
    <x v="0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x v="1"/>
    <x v="157"/>
    <x v="0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x v="1"/>
    <x v="97"/>
    <x v="0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x v="1"/>
    <x v="320"/>
    <x v="0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x v="1"/>
    <x v="198"/>
    <x v="0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x v="1"/>
    <x v="33"/>
    <x v="0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x v="1"/>
    <x v="205"/>
    <x v="0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x v="1"/>
    <x v="321"/>
    <x v="0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x v="1"/>
    <x v="16"/>
    <x v="0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x v="1"/>
    <x v="322"/>
    <x v="0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x v="1"/>
    <x v="261"/>
    <x v="0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x v="1"/>
    <x v="323"/>
    <x v="0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x v="1"/>
    <x v="196"/>
    <x v="0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x v="1"/>
    <x v="324"/>
    <x v="0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x v="1"/>
    <x v="325"/>
    <x v="0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x v="1"/>
    <x v="232"/>
    <x v="0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x v="1"/>
    <x v="238"/>
    <x v="0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x v="1"/>
    <x v="326"/>
    <x v="0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x v="1"/>
    <x v="291"/>
    <x v="0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x v="1"/>
    <x v="67"/>
    <x v="0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x v="0"/>
    <x v="4"/>
    <x v="0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x v="1"/>
    <x v="15"/>
    <x v="0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x v="0"/>
    <x v="84"/>
    <x v="1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x v="0"/>
    <x v="29"/>
    <x v="1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x v="0"/>
    <x v="29"/>
    <x v="1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x v="0"/>
    <x v="78"/>
    <x v="1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x v="0"/>
    <x v="29"/>
    <x v="1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x v="0"/>
    <x v="202"/>
    <x v="1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x v="0"/>
    <x v="78"/>
    <x v="1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x v="0"/>
    <x v="29"/>
    <x v="1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x v="0"/>
    <x v="79"/>
    <x v="1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x v="0"/>
    <x v="63"/>
    <x v="1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x v="0"/>
    <x v="78"/>
    <x v="1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x v="0"/>
    <x v="38"/>
    <x v="1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x v="0"/>
    <x v="78"/>
    <x v="1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x v="0"/>
    <x v="78"/>
    <x v="1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x v="0"/>
    <x v="78"/>
    <x v="1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x v="0"/>
    <x v="8"/>
    <x v="1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x v="0"/>
    <x v="29"/>
    <x v="1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x v="0"/>
    <x v="83"/>
    <x v="1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x v="0"/>
    <x v="29"/>
    <x v="1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x v="0"/>
    <x v="80"/>
    <x v="1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x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x v="0"/>
    <x v="78"/>
    <x v="1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x v="0"/>
    <x v="84"/>
    <x v="1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x v="0"/>
    <x v="29"/>
    <x v="1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x v="0"/>
    <x v="29"/>
    <x v="1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x v="0"/>
    <x v="211"/>
    <x v="1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x v="0"/>
    <x v="62"/>
    <x v="1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x v="0"/>
    <x v="19"/>
    <x v="1"/>
    <s v="publishing/art books"/>
    <x v="51"/>
    <x v="1112"/>
    <x v="3"/>
    <x v="25"/>
  </r>
  <r>
    <n v="1569"/>
    <s v="to be removed (Canceled)"/>
    <s v="to be removed"/>
    <n v="30000"/>
    <n v="0"/>
    <x v="1"/>
    <x v="0"/>
    <x v="0"/>
    <n v="1369498714"/>
    <x v="1569"/>
    <x v="0"/>
    <x v="78"/>
    <x v="1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x v="0"/>
    <x v="47"/>
    <x v="1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x v="0"/>
    <x v="80"/>
    <x v="1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x v="0"/>
    <x v="83"/>
    <x v="1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x v="0"/>
    <x v="83"/>
    <x v="1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x v="0"/>
    <x v="79"/>
    <x v="1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x v="0"/>
    <x v="2"/>
    <x v="1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x v="0"/>
    <x v="73"/>
    <x v="1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x v="0"/>
    <x v="84"/>
    <x v="1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x v="0"/>
    <x v="80"/>
    <x v="1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x v="0"/>
    <x v="84"/>
    <x v="1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x v="0"/>
    <x v="78"/>
    <x v="1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x v="0"/>
    <x v="29"/>
    <x v="1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x v="1582"/>
    <x v="0"/>
    <x v="83"/>
    <x v="1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x v="0"/>
    <x v="29"/>
    <x v="1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x v="0"/>
    <x v="78"/>
    <x v="1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x v="0"/>
    <x v="8"/>
    <x v="1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x v="1586"/>
    <x v="0"/>
    <x v="78"/>
    <x v="1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x v="0"/>
    <x v="29"/>
    <x v="1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x v="1588"/>
    <x v="0"/>
    <x v="78"/>
    <x v="1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x v="0"/>
    <x v="78"/>
    <x v="1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x v="3"/>
    <n v="1443040464"/>
    <x v="1590"/>
    <x v="0"/>
    <x v="84"/>
    <x v="1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x v="0"/>
    <x v="297"/>
    <x v="1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x v="0"/>
    <x v="78"/>
    <x v="1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x v="0"/>
    <x v="83"/>
    <x v="1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x v="0"/>
    <x v="73"/>
    <x v="1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x v="0"/>
    <x v="63"/>
    <x v="1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x v="0"/>
    <x v="83"/>
    <x v="1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x v="0"/>
    <x v="78"/>
    <x v="1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x v="0"/>
    <x v="29"/>
    <x v="1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x v="0"/>
    <x v="78"/>
    <x v="1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x v="0"/>
    <x v="82"/>
    <x v="1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x v="0"/>
    <x v="66"/>
    <x v="0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x v="0"/>
    <x v="58"/>
    <x v="0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x v="0"/>
    <x v="209"/>
    <x v="0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x v="0"/>
    <x v="16"/>
    <x v="0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x v="0"/>
    <x v="34"/>
    <x v="0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x v="0"/>
    <x v="297"/>
    <x v="0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x v="0"/>
    <x v="242"/>
    <x v="0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x v="0"/>
    <x v="23"/>
    <x v="0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x v="0"/>
    <x v="80"/>
    <x v="0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x v="0"/>
    <x v="300"/>
    <x v="0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x v="1611"/>
    <x v="0"/>
    <x v="74"/>
    <x v="0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x v="0"/>
    <x v="202"/>
    <x v="0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x v="0"/>
    <x v="55"/>
    <x v="0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x v="0"/>
    <x v="99"/>
    <x v="0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x v="0"/>
    <x v="327"/>
    <x v="0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x v="0"/>
    <x v="328"/>
    <x v="0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x v="0"/>
    <x v="150"/>
    <x v="0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x v="0"/>
    <x v="74"/>
    <x v="0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x v="0"/>
    <x v="23"/>
    <x v="0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x v="0"/>
    <x v="57"/>
    <x v="0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x v="0"/>
    <x v="77"/>
    <x v="0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x v="0"/>
    <x v="71"/>
    <x v="0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x v="0"/>
    <x v="59"/>
    <x v="0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x v="0"/>
    <x v="20"/>
    <x v="0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x v="0"/>
    <x v="201"/>
    <x v="0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x v="0"/>
    <x v="52"/>
    <x v="0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x v="0"/>
    <x v="44"/>
    <x v="0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x v="0"/>
    <x v="106"/>
    <x v="0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x v="0"/>
    <x v="141"/>
    <x v="0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x v="0"/>
    <x v="149"/>
    <x v="0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x v="0"/>
    <x v="182"/>
    <x v="0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x v="0"/>
    <x v="5"/>
    <x v="0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x v="0"/>
    <x v="6"/>
    <x v="0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x v="0"/>
    <x v="58"/>
    <x v="0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x v="0"/>
    <x v="77"/>
    <x v="0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x v="0"/>
    <x v="45"/>
    <x v="0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x v="0"/>
    <x v="41"/>
    <x v="0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x v="0"/>
    <x v="74"/>
    <x v="0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x v="0"/>
    <x v="10"/>
    <x v="0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x v="0"/>
    <x v="57"/>
    <x v="0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x v="0"/>
    <x v="55"/>
    <x v="0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x v="0"/>
    <x v="33"/>
    <x v="0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x v="0"/>
    <x v="77"/>
    <x v="0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x v="0"/>
    <x v="130"/>
    <x v="0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x v="0"/>
    <x v="73"/>
    <x v="0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x v="0"/>
    <x v="183"/>
    <x v="0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x v="0"/>
    <x v="67"/>
    <x v="0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x v="0"/>
    <x v="240"/>
    <x v="0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x v="0"/>
    <x v="75"/>
    <x v="0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x v="0"/>
    <x v="58"/>
    <x v="0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x v="0"/>
    <x v="9"/>
    <x v="0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x v="0"/>
    <x v="16"/>
    <x v="0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x v="0"/>
    <x v="129"/>
    <x v="0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x v="0"/>
    <x v="69"/>
    <x v="0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x v="0"/>
    <x v="53"/>
    <x v="0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x v="0"/>
    <x v="53"/>
    <x v="0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x v="0"/>
    <x v="170"/>
    <x v="0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x v="0"/>
    <x v="329"/>
    <x v="0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x v="0"/>
    <x v="43"/>
    <x v="0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x v="0"/>
    <x v="17"/>
    <x v="0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x v="0"/>
    <x v="21"/>
    <x v="0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x v="0"/>
    <x v="95"/>
    <x v="0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x v="0"/>
    <x v="58"/>
    <x v="0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x v="0"/>
    <x v="30"/>
    <x v="0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x v="0"/>
    <x v="251"/>
    <x v="0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x v="0"/>
    <x v="15"/>
    <x v="0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x v="0"/>
    <x v="141"/>
    <x v="0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x v="0"/>
    <x v="318"/>
    <x v="0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x v="0"/>
    <x v="47"/>
    <x v="0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x v="0"/>
    <x v="23"/>
    <x v="0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x v="0"/>
    <x v="99"/>
    <x v="0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x v="0"/>
    <x v="72"/>
    <x v="0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x v="0"/>
    <x v="211"/>
    <x v="0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x v="0"/>
    <x v="116"/>
    <x v="0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x v="0"/>
    <x v="69"/>
    <x v="0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x v="0"/>
    <x v="288"/>
    <x v="0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x v="0"/>
    <x v="288"/>
    <x v="0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x v="0"/>
    <x v="72"/>
    <x v="0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x v="0"/>
    <x v="66"/>
    <x v="0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x v="0"/>
    <x v="20"/>
    <x v="0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x v="0"/>
    <x v="330"/>
    <x v="1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x v="0"/>
    <x v="78"/>
    <x v="1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x v="0"/>
    <x v="73"/>
    <x v="1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x v="0"/>
    <x v="21"/>
    <x v="1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x v="0"/>
    <x v="41"/>
    <x v="1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x v="0"/>
    <x v="29"/>
    <x v="1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x v="0"/>
    <x v="70"/>
    <x v="1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x v="0"/>
    <x v="63"/>
    <x v="1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x v="0"/>
    <n v="1489700230"/>
    <x v="1689"/>
    <x v="0"/>
    <x v="25"/>
    <x v="1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x v="0"/>
    <x v="202"/>
    <x v="1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x v="0"/>
    <x v="44"/>
    <x v="1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x v="0"/>
    <x v="41"/>
    <x v="1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x v="0"/>
    <x v="22"/>
    <x v="1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x v="0"/>
    <x v="29"/>
    <x v="1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x v="0"/>
    <x v="23"/>
    <x v="1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x v="0"/>
    <x v="78"/>
    <x v="1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x v="0"/>
    <x v="19"/>
    <x v="1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x v="0"/>
    <x v="78"/>
    <x v="1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x v="0"/>
    <x v="80"/>
    <x v="1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x v="0"/>
    <x v="1"/>
    <x v="1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x v="0"/>
    <x v="84"/>
    <x v="1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x v="1702"/>
    <x v="0"/>
    <x v="29"/>
    <x v="1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x v="0"/>
    <x v="84"/>
    <x v="1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x v="0"/>
    <x v="202"/>
    <x v="1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x v="0"/>
    <x v="78"/>
    <x v="1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x v="0"/>
    <x v="78"/>
    <x v="1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x v="0"/>
    <x v="82"/>
    <x v="1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x v="0"/>
    <x v="78"/>
    <x v="1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x v="0"/>
    <x v="80"/>
    <x v="1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x v="0"/>
    <x v="29"/>
    <x v="1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x v="0"/>
    <x v="84"/>
    <x v="1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x v="0"/>
    <x v="78"/>
    <x v="1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x v="0"/>
    <x v="29"/>
    <x v="1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x v="0"/>
    <x v="57"/>
    <x v="1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x v="0"/>
    <x v="84"/>
    <x v="1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x v="0"/>
    <x v="83"/>
    <x v="1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x v="0"/>
    <x v="14"/>
    <x v="1"/>
    <s v="music/faith"/>
    <x v="152"/>
    <x v="1212"/>
    <x v="4"/>
    <x v="28"/>
  </r>
  <r>
    <n v="1718"/>
    <s v="The Prodigal Son"/>
    <s v="A melody for the galaxy."/>
    <n v="35000"/>
    <n v="75"/>
    <x v="2"/>
    <x v="0"/>
    <x v="0"/>
    <n v="1463201940"/>
    <x v="1718"/>
    <x v="0"/>
    <x v="84"/>
    <x v="1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x v="0"/>
    <x v="83"/>
    <x v="1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x v="0"/>
    <x v="22"/>
    <x v="1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x v="0"/>
    <x v="78"/>
    <x v="1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x v="0"/>
    <x v="29"/>
    <x v="1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x v="0"/>
    <x v="83"/>
    <x v="1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x v="0"/>
    <x v="80"/>
    <x v="1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x v="0"/>
    <x v="82"/>
    <x v="1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x v="0"/>
    <x v="38"/>
    <x v="1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x v="0"/>
    <x v="29"/>
    <x v="1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x v="0"/>
    <x v="63"/>
    <x v="1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x v="0"/>
    <x v="78"/>
    <x v="1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x v="0"/>
    <x v="78"/>
    <x v="1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x v="0"/>
    <x v="78"/>
    <x v="1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x v="0"/>
    <x v="78"/>
    <x v="1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x v="0"/>
    <x v="78"/>
    <x v="1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x v="0"/>
    <x v="29"/>
    <x v="1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x v="0"/>
    <x v="84"/>
    <x v="1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x v="0"/>
    <x v="29"/>
    <x v="1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x v="0"/>
    <x v="41"/>
    <x v="1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x v="0"/>
    <x v="29"/>
    <x v="1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x v="0"/>
    <x v="29"/>
    <x v="1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x v="0"/>
    <x v="78"/>
    <x v="1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x v="0"/>
    <x v="47"/>
    <x v="0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x v="0"/>
    <x v="69"/>
    <x v="0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x v="0"/>
    <x v="85"/>
    <x v="0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x v="0"/>
    <x v="16"/>
    <x v="0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x v="0"/>
    <x v="30"/>
    <x v="0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x v="0"/>
    <x v="329"/>
    <x v="0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x v="0"/>
    <x v="180"/>
    <x v="0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x v="0"/>
    <x v="331"/>
    <x v="0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x v="0"/>
    <x v="132"/>
    <x v="0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x v="0"/>
    <x v="207"/>
    <x v="0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x v="0"/>
    <x v="42"/>
    <x v="0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x v="0"/>
    <x v="240"/>
    <x v="0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x v="0"/>
    <x v="2"/>
    <x v="0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x v="0"/>
    <x v="240"/>
    <x v="0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x v="0"/>
    <x v="80"/>
    <x v="0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x v="0"/>
    <x v="148"/>
    <x v="0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x v="0"/>
    <x v="25"/>
    <x v="0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x v="0"/>
    <x v="74"/>
    <x v="0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x v="0"/>
    <n v="1427309629"/>
    <x v="1759"/>
    <x v="0"/>
    <x v="72"/>
    <x v="0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x v="0"/>
    <x v="332"/>
    <x v="0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x v="0"/>
    <x v="83"/>
    <x v="0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x v="1762"/>
    <x v="0"/>
    <x v="20"/>
    <x v="0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x v="0"/>
    <x v="115"/>
    <x v="0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x v="1"/>
    <x v="70"/>
    <x v="1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x v="1"/>
    <x v="273"/>
    <x v="1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x v="1"/>
    <x v="78"/>
    <x v="1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x v="1"/>
    <x v="70"/>
    <x v="1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x v="1"/>
    <x v="41"/>
    <x v="1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x v="1"/>
    <x v="19"/>
    <x v="1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x v="1"/>
    <x v="297"/>
    <x v="1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x v="1"/>
    <x v="20"/>
    <x v="1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x v="1"/>
    <x v="10"/>
    <x v="1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x v="1"/>
    <x v="10"/>
    <x v="1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x v="1"/>
    <x v="62"/>
    <x v="1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x v="1"/>
    <x v="204"/>
    <x v="1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x v="1"/>
    <x v="80"/>
    <x v="1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x v="1"/>
    <x v="73"/>
    <x v="1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x v="1"/>
    <x v="41"/>
    <x v="1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x v="1"/>
    <x v="44"/>
    <x v="1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x v="1"/>
    <x v="215"/>
    <x v="1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x v="1"/>
    <x v="54"/>
    <x v="1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x v="1"/>
    <x v="88"/>
    <x v="1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x v="1"/>
    <x v="333"/>
    <x v="1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x v="1"/>
    <x v="51"/>
    <x v="1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x v="1"/>
    <x v="52"/>
    <x v="1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x v="1"/>
    <x v="60"/>
    <x v="1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x v="1"/>
    <x v="54"/>
    <x v="1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x v="1"/>
    <x v="80"/>
    <x v="1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x v="1"/>
    <x v="80"/>
    <x v="1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x v="1"/>
    <x v="41"/>
    <x v="1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x v="1"/>
    <x v="80"/>
    <x v="1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x v="1"/>
    <x v="237"/>
    <x v="1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x v="1"/>
    <x v="84"/>
    <x v="1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x v="1"/>
    <x v="59"/>
    <x v="1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x v="1"/>
    <x v="75"/>
    <x v="1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x v="1"/>
    <x v="48"/>
    <x v="1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x v="1"/>
    <x v="205"/>
    <x v="1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x v="1"/>
    <x v="77"/>
    <x v="1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x v="1"/>
    <x v="79"/>
    <x v="1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x v="1"/>
    <x v="116"/>
    <x v="1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x v="1"/>
    <x v="77"/>
    <x v="1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x v="1"/>
    <x v="59"/>
    <x v="1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x v="1"/>
    <x v="11"/>
    <x v="1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x v="1"/>
    <x v="47"/>
    <x v="1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x v="1"/>
    <x v="259"/>
    <x v="1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x v="1"/>
    <x v="22"/>
    <x v="1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x v="1807"/>
    <x v="1"/>
    <x v="22"/>
    <x v="1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x v="1"/>
    <x v="93"/>
    <x v="1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x v="1"/>
    <x v="82"/>
    <x v="1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x v="0"/>
    <x v="84"/>
    <x v="1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x v="0"/>
    <x v="55"/>
    <x v="1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x v="0"/>
    <x v="23"/>
    <x v="1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x v="0"/>
    <x v="78"/>
    <x v="1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x v="0"/>
    <x v="205"/>
    <x v="1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x v="0"/>
    <x v="78"/>
    <x v="1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x v="0"/>
    <x v="79"/>
    <x v="1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x v="0"/>
    <x v="61"/>
    <x v="1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x v="0"/>
    <x v="78"/>
    <x v="1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x v="0"/>
    <x v="80"/>
    <x v="1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x v="0"/>
    <x v="22"/>
    <x v="1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x v="0"/>
    <x v="7"/>
    <x v="0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x v="0"/>
    <x v="202"/>
    <x v="0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x v="0"/>
    <x v="51"/>
    <x v="0"/>
    <s v="music/rock"/>
    <x v="31"/>
    <x v="1287"/>
    <x v="4"/>
    <x v="11"/>
  </r>
  <r>
    <n v="1824"/>
    <s v="Tin Man's Broken Wisdom Fund"/>
    <s v="cd fund raiser"/>
    <n v="3000"/>
    <n v="3002"/>
    <x v="0"/>
    <x v="0"/>
    <x v="0"/>
    <n v="1389146880"/>
    <x v="1824"/>
    <x v="0"/>
    <x v="244"/>
    <x v="0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x v="0"/>
    <x v="133"/>
    <x v="0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x v="0"/>
    <x v="44"/>
    <x v="0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x v="0"/>
    <x v="93"/>
    <x v="0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x v="0"/>
    <x v="53"/>
    <x v="0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x v="0"/>
    <x v="51"/>
    <x v="0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x v="0"/>
    <x v="334"/>
    <x v="0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x v="0"/>
    <x v="25"/>
    <x v="0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x v="0"/>
    <x v="9"/>
    <x v="0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x v="0"/>
    <x v="20"/>
    <x v="0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x v="1834"/>
    <x v="0"/>
    <x v="240"/>
    <x v="0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x v="0"/>
    <x v="202"/>
    <x v="0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x v="0"/>
    <n v="1361129129"/>
    <x v="1836"/>
    <x v="0"/>
    <x v="165"/>
    <x v="0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x v="0"/>
    <x v="209"/>
    <x v="0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x v="0"/>
    <x v="33"/>
    <x v="0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x v="0"/>
    <x v="43"/>
    <x v="0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x v="0"/>
    <x v="62"/>
    <x v="0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x v="0"/>
    <x v="244"/>
    <x v="0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x v="0"/>
    <x v="64"/>
    <x v="0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x v="0"/>
    <x v="179"/>
    <x v="0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x v="0"/>
    <x v="9"/>
    <x v="0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x v="0"/>
    <x v="10"/>
    <x v="0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x v="0"/>
    <x v="335"/>
    <x v="0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x v="0"/>
    <x v="44"/>
    <x v="0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x v="0"/>
    <x v="54"/>
    <x v="0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x v="0"/>
    <x v="22"/>
    <x v="0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x v="0"/>
    <x v="122"/>
    <x v="0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x v="0"/>
    <x v="55"/>
    <x v="0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x v="0"/>
    <x v="132"/>
    <x v="0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x v="0"/>
    <x v="25"/>
    <x v="0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x v="0"/>
    <x v="49"/>
    <x v="0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x v="0"/>
    <x v="277"/>
    <x v="0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x v="0"/>
    <x v="44"/>
    <x v="0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x v="0"/>
    <x v="19"/>
    <x v="0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x v="0"/>
    <x v="184"/>
    <x v="0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x v="1859"/>
    <x v="0"/>
    <x v="66"/>
    <x v="0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x v="0"/>
    <x v="10"/>
    <x v="0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x v="0"/>
    <x v="78"/>
    <x v="1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x v="0"/>
    <x v="38"/>
    <x v="1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x v="0"/>
    <x v="84"/>
    <x v="1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x v="0"/>
    <x v="53"/>
    <x v="1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x v="0"/>
    <x v="84"/>
    <x v="1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x v="0"/>
    <x v="84"/>
    <x v="1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x v="0"/>
    <x v="29"/>
    <x v="1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x v="0"/>
    <x v="57"/>
    <x v="1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x v="0"/>
    <x v="78"/>
    <x v="1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x v="0"/>
    <x v="202"/>
    <x v="1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x v="0"/>
    <x v="195"/>
    <x v="1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x v="0"/>
    <x v="62"/>
    <x v="1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x v="0"/>
    <x v="84"/>
    <x v="1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x v="0"/>
    <x v="84"/>
    <x v="1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x v="0"/>
    <x v="83"/>
    <x v="1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x v="0"/>
    <x v="78"/>
    <x v="1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x v="0"/>
    <x v="78"/>
    <x v="1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x v="0"/>
    <x v="78"/>
    <x v="1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x v="0"/>
    <x v="84"/>
    <x v="1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x v="0"/>
    <x v="54"/>
    <x v="1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x v="0"/>
    <x v="16"/>
    <x v="0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x v="0"/>
    <x v="75"/>
    <x v="0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x v="0"/>
    <x v="58"/>
    <x v="0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x v="0"/>
    <x v="55"/>
    <x v="0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x v="0"/>
    <x v="217"/>
    <x v="0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x v="0"/>
    <x v="60"/>
    <x v="0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x v="0"/>
    <x v="22"/>
    <x v="0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x v="0"/>
    <x v="30"/>
    <x v="0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x v="0"/>
    <x v="34"/>
    <x v="0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x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x v="0"/>
    <x v="148"/>
    <x v="0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x v="0"/>
    <x v="55"/>
    <x v="0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x v="0"/>
    <x v="43"/>
    <x v="0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x v="0"/>
    <x v="9"/>
    <x v="0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x v="0"/>
    <x v="5"/>
    <x v="0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x v="0"/>
    <x v="62"/>
    <x v="0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x v="0"/>
    <x v="275"/>
    <x v="0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x v="0"/>
    <x v="64"/>
    <x v="0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x v="0"/>
    <x v="288"/>
    <x v="0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x v="0"/>
    <x v="241"/>
    <x v="0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x v="0"/>
    <x v="20"/>
    <x v="1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x v="0"/>
    <x v="83"/>
    <x v="1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x v="0"/>
    <x v="14"/>
    <x v="1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x v="0"/>
    <x v="84"/>
    <x v="1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x v="0"/>
    <x v="80"/>
    <x v="1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x v="0"/>
    <x v="221"/>
    <x v="1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x v="0"/>
    <x v="80"/>
    <x v="1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x v="0"/>
    <x v="80"/>
    <x v="1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x v="0"/>
    <x v="44"/>
    <x v="1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x v="0"/>
    <x v="168"/>
    <x v="1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x v="0"/>
    <x v="29"/>
    <x v="1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x v="0"/>
    <x v="288"/>
    <x v="1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x v="0"/>
    <x v="55"/>
    <x v="1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x v="0"/>
    <x v="84"/>
    <x v="1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x v="0"/>
    <x v="80"/>
    <x v="1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x v="0"/>
    <x v="79"/>
    <x v="1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x v="0"/>
    <x v="16"/>
    <x v="1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x v="0"/>
    <x v="82"/>
    <x v="1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x v="0"/>
    <x v="22"/>
    <x v="1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x v="0"/>
    <x v="217"/>
    <x v="1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x v="0"/>
    <x v="44"/>
    <x v="0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x v="0"/>
    <x v="31"/>
    <x v="0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x v="0"/>
    <x v="62"/>
    <x v="0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x v="0"/>
    <x v="51"/>
    <x v="0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x v="0"/>
    <x v="47"/>
    <x v="0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x v="0"/>
    <x v="329"/>
    <x v="0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x v="0"/>
    <n v="1331182740"/>
    <x v="1927"/>
    <x v="0"/>
    <x v="202"/>
    <x v="0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x v="0"/>
    <x v="69"/>
    <x v="0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x v="0"/>
    <x v="11"/>
    <x v="0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x v="0"/>
    <x v="55"/>
    <x v="0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x v="0"/>
    <x v="133"/>
    <x v="0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x v="0"/>
    <x v="144"/>
    <x v="0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x v="0"/>
    <x v="238"/>
    <x v="0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x v="0"/>
    <x v="99"/>
    <x v="0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x v="0"/>
    <x v="133"/>
    <x v="0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x v="0"/>
    <x v="108"/>
    <x v="0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x v="0"/>
    <x v="60"/>
    <x v="0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x v="0"/>
    <x v="229"/>
    <x v="0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x v="0"/>
    <x v="93"/>
    <x v="0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x v="0"/>
    <x v="162"/>
    <x v="0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x v="1"/>
    <x v="337"/>
    <x v="0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x v="1"/>
    <x v="195"/>
    <x v="0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x v="1"/>
    <x v="338"/>
    <x v="0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x v="1"/>
    <x v="339"/>
    <x v="0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x v="1"/>
    <x v="340"/>
    <x v="0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x v="1"/>
    <x v="16"/>
    <x v="0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x v="1"/>
    <x v="23"/>
    <x v="0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x v="1"/>
    <x v="341"/>
    <x v="0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x v="1"/>
    <x v="342"/>
    <x v="0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x v="1"/>
    <x v="343"/>
    <x v="0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x v="1"/>
    <x v="344"/>
    <x v="0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x v="1"/>
    <x v="345"/>
    <x v="0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x v="1"/>
    <x v="206"/>
    <x v="0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x v="1"/>
    <x v="119"/>
    <x v="0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x v="1"/>
    <x v="126"/>
    <x v="0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x v="1"/>
    <x v="346"/>
    <x v="0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x v="1"/>
    <x v="347"/>
    <x v="0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x v="1"/>
    <x v="348"/>
    <x v="0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x v="1"/>
    <x v="349"/>
    <x v="0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x v="1"/>
    <x v="51"/>
    <x v="0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x v="1"/>
    <x v="350"/>
    <x v="0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x v="1"/>
    <x v="351"/>
    <x v="0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x v="1"/>
    <x v="242"/>
    <x v="0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x v="1"/>
    <x v="352"/>
    <x v="0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x v="1"/>
    <x v="273"/>
    <x v="0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x v="1"/>
    <x v="353"/>
    <x v="0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x v="1"/>
    <x v="316"/>
    <x v="0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x v="1"/>
    <x v="354"/>
    <x v="0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x v="1"/>
    <x v="355"/>
    <x v="0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x v="1"/>
    <x v="356"/>
    <x v="0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x v="1"/>
    <x v="357"/>
    <x v="0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x v="1"/>
    <x v="146"/>
    <x v="0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x v="1"/>
    <x v="358"/>
    <x v="0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x v="1"/>
    <x v="359"/>
    <x v="0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x v="1"/>
    <x v="35"/>
    <x v="0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x v="1"/>
    <x v="360"/>
    <x v="0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x v="1"/>
    <x v="361"/>
    <x v="0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x v="1"/>
    <x v="362"/>
    <x v="0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x v="1"/>
    <x v="363"/>
    <x v="0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x v="1"/>
    <x v="364"/>
    <x v="0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x v="0"/>
    <x v="8"/>
    <x v="1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x v="0"/>
    <x v="78"/>
    <x v="1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x v="0"/>
    <x v="38"/>
    <x v="1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x v="0"/>
    <x v="63"/>
    <x v="1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x v="0"/>
    <x v="80"/>
    <x v="1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x v="0"/>
    <x v="29"/>
    <x v="1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x v="0"/>
    <x v="33"/>
    <x v="1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x v="0"/>
    <n v="1440094742"/>
    <x v="1988"/>
    <x v="0"/>
    <x v="29"/>
    <x v="1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x v="0"/>
    <x v="29"/>
    <x v="1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x v="0"/>
    <x v="81"/>
    <x v="1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x v="0"/>
    <x v="83"/>
    <x v="1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x v="0"/>
    <x v="84"/>
    <x v="1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x v="0"/>
    <x v="78"/>
    <x v="1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x v="0"/>
    <x v="78"/>
    <x v="1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x v="0"/>
    <x v="83"/>
    <x v="1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x v="0"/>
    <x v="78"/>
    <x v="1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x v="0"/>
    <x v="78"/>
    <x v="1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x v="0"/>
    <x v="83"/>
    <x v="1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x v="0"/>
    <x v="63"/>
    <x v="1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x v="0"/>
    <x v="20"/>
    <x v="1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x v="1"/>
    <x v="365"/>
    <x v="0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x v="1"/>
    <x v="366"/>
    <x v="0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x v="1"/>
    <x v="57"/>
    <x v="0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x v="1"/>
    <x v="178"/>
    <x v="0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x v="1"/>
    <x v="277"/>
    <x v="0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x v="1"/>
    <x v="175"/>
    <x v="0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x v="1"/>
    <x v="89"/>
    <x v="0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x v="1"/>
    <x v="14"/>
    <x v="0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x v="1"/>
    <x v="367"/>
    <x v="0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x v="1"/>
    <x v="368"/>
    <x v="0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x v="1"/>
    <x v="369"/>
    <x v="0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x v="1"/>
    <x v="275"/>
    <x v="0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x v="1"/>
    <x v="370"/>
    <x v="0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x v="1"/>
    <x v="371"/>
    <x v="0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x v="1"/>
    <x v="372"/>
    <x v="0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x v="1"/>
    <x v="373"/>
    <x v="0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x v="1"/>
    <x v="374"/>
    <x v="0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x v="1"/>
    <x v="375"/>
    <x v="0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x v="1"/>
    <x v="376"/>
    <x v="0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x v="1"/>
    <x v="259"/>
    <x v="0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x v="1"/>
    <x v="195"/>
    <x v="0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x v="1"/>
    <x v="166"/>
    <x v="0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x v="1"/>
    <x v="377"/>
    <x v="0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x v="1"/>
    <x v="217"/>
    <x v="0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x v="1"/>
    <x v="378"/>
    <x v="0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x v="1"/>
    <x v="379"/>
    <x v="0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x v="1"/>
    <x v="380"/>
    <x v="0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x v="1"/>
    <x v="1"/>
    <x v="0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x v="1"/>
    <x v="225"/>
    <x v="0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x v="1"/>
    <x v="381"/>
    <x v="0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x v="1"/>
    <x v="278"/>
    <x v="0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x v="1"/>
    <x v="382"/>
    <x v="0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x v="1"/>
    <x v="150"/>
    <x v="0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x v="1"/>
    <x v="278"/>
    <x v="0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x v="1"/>
    <x v="383"/>
    <x v="0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x v="1"/>
    <x v="384"/>
    <x v="0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x v="1"/>
    <x v="385"/>
    <x v="0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x v="1"/>
    <x v="386"/>
    <x v="0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x v="1"/>
    <x v="169"/>
    <x v="0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x v="2040"/>
    <x v="1"/>
    <x v="197"/>
    <x v="0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x v="0"/>
    <x v="148"/>
    <x v="0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x v="0"/>
    <x v="205"/>
    <x v="0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x v="0"/>
    <x v="189"/>
    <x v="0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x v="0"/>
    <x v="387"/>
    <x v="0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x v="0"/>
    <x v="40"/>
    <x v="0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x v="0"/>
    <x v="37"/>
    <x v="0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x v="0"/>
    <x v="388"/>
    <x v="0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x v="0"/>
    <x v="389"/>
    <x v="0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x v="2049"/>
    <x v="0"/>
    <x v="390"/>
    <x v="0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x v="0"/>
    <x v="203"/>
    <x v="0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x v="0"/>
    <x v="391"/>
    <x v="0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x v="0"/>
    <x v="392"/>
    <x v="0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x v="0"/>
    <x v="212"/>
    <x v="0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x v="0"/>
    <x v="393"/>
    <x v="0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x v="0"/>
    <x v="21"/>
    <x v="0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x v="0"/>
    <x v="394"/>
    <x v="0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x v="0"/>
    <x v="395"/>
    <x v="0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x v="0"/>
    <x v="396"/>
    <x v="0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x v="0"/>
    <x v="269"/>
    <x v="0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x v="0"/>
    <x v="397"/>
    <x v="0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x v="0"/>
    <x v="2"/>
    <x v="0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x v="0"/>
    <x v="398"/>
    <x v="0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x v="0"/>
    <x v="72"/>
    <x v="0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x v="0"/>
    <x v="399"/>
    <x v="0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x v="0"/>
    <x v="400"/>
    <x v="0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x v="0"/>
    <x v="71"/>
    <x v="0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x v="0"/>
    <x v="73"/>
    <x v="0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x v="0"/>
    <x v="88"/>
    <x v="0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x v="0"/>
    <x v="40"/>
    <x v="0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x v="0"/>
    <x v="401"/>
    <x v="0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x v="0"/>
    <x v="402"/>
    <x v="0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x v="0"/>
    <x v="403"/>
    <x v="0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x v="0"/>
    <x v="404"/>
    <x v="0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x v="0"/>
    <x v="83"/>
    <x v="0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x v="0"/>
    <x v="405"/>
    <x v="0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x v="0"/>
    <x v="406"/>
    <x v="0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x v="0"/>
    <x v="101"/>
    <x v="0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x v="0"/>
    <x v="53"/>
    <x v="0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x v="0"/>
    <x v="407"/>
    <x v="0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x v="0"/>
    <x v="133"/>
    <x v="0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x v="0"/>
    <x v="165"/>
    <x v="0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x v="0"/>
    <x v="44"/>
    <x v="0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x v="0"/>
    <x v="20"/>
    <x v="0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x v="0"/>
    <x v="67"/>
    <x v="0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x v="0"/>
    <x v="183"/>
    <x v="0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x v="0"/>
    <x v="2"/>
    <x v="0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x v="0"/>
    <x v="20"/>
    <x v="0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x v="0"/>
    <x v="11"/>
    <x v="0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x v="0"/>
    <x v="95"/>
    <x v="0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x v="0"/>
    <x v="322"/>
    <x v="0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x v="0"/>
    <x v="336"/>
    <x v="0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x v="0"/>
    <x v="165"/>
    <x v="0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x v="0"/>
    <x v="23"/>
    <x v="0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x v="0"/>
    <x v="250"/>
    <x v="0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x v="0"/>
    <x v="19"/>
    <x v="0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x v="0"/>
    <x v="25"/>
    <x v="0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x v="0"/>
    <x v="44"/>
    <x v="0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x v="0"/>
    <x v="58"/>
    <x v="0"/>
    <s v="music/indie rock"/>
    <x v="8"/>
    <x v="1513"/>
    <x v="4"/>
    <x v="14"/>
  </r>
  <r>
    <n v="2099"/>
    <s v="Roosevelt Died."/>
    <s v="Our tour van died, we need help!"/>
    <n v="3000"/>
    <n v="3971"/>
    <x v="0"/>
    <x v="0"/>
    <x v="0"/>
    <n v="1435808400"/>
    <x v="2099"/>
    <x v="0"/>
    <x v="287"/>
    <x v="0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x v="0"/>
    <x v="74"/>
    <x v="0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x v="0"/>
    <x v="34"/>
    <x v="0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x v="0"/>
    <x v="44"/>
    <x v="0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x v="2103"/>
    <x v="0"/>
    <x v="248"/>
    <x v="0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x v="0"/>
    <x v="77"/>
    <x v="0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x v="0"/>
    <x v="221"/>
    <x v="0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x v="0"/>
    <x v="34"/>
    <x v="0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x v="0"/>
    <x v="6"/>
    <x v="0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x v="0"/>
    <x v="277"/>
    <x v="0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x v="0"/>
    <x v="244"/>
    <x v="0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x v="0"/>
    <x v="44"/>
    <x v="0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x v="0"/>
    <x v="70"/>
    <x v="0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x v="0"/>
    <x v="202"/>
    <x v="0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x v="2113"/>
    <x v="0"/>
    <x v="329"/>
    <x v="0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x v="0"/>
    <x v="206"/>
    <x v="0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x v="0"/>
    <x v="17"/>
    <x v="0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x v="0"/>
    <x v="297"/>
    <x v="0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x v="0"/>
    <x v="2"/>
    <x v="0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x v="0"/>
    <x v="57"/>
    <x v="0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x v="0"/>
    <x v="19"/>
    <x v="0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x v="0"/>
    <x v="50"/>
    <x v="0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x v="0"/>
    <x v="73"/>
    <x v="1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x v="0"/>
    <x v="83"/>
    <x v="1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x v="0"/>
    <x v="81"/>
    <x v="1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x v="0"/>
    <x v="81"/>
    <x v="1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x v="0"/>
    <x v="74"/>
    <x v="1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x v="0"/>
    <x v="84"/>
    <x v="1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x v="2127"/>
    <x v="0"/>
    <x v="163"/>
    <x v="1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x v="0"/>
    <x v="29"/>
    <x v="1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x v="0"/>
    <x v="8"/>
    <x v="1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x v="0"/>
    <x v="80"/>
    <x v="1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x v="0"/>
    <x v="83"/>
    <x v="1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x v="0"/>
    <x v="221"/>
    <x v="1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x v="0"/>
    <x v="83"/>
    <x v="1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x v="0"/>
    <x v="83"/>
    <x v="1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x v="0"/>
    <x v="19"/>
    <x v="1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x v="0"/>
    <x v="80"/>
    <x v="1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x v="0"/>
    <x v="408"/>
    <x v="1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x v="0"/>
    <x v="8"/>
    <x v="1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x v="0"/>
    <x v="66"/>
    <x v="1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x v="0"/>
    <x v="202"/>
    <x v="1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x v="0"/>
    <x v="78"/>
    <x v="1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x v="0"/>
    <x v="8"/>
    <x v="1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x v="0"/>
    <x v="81"/>
    <x v="1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x v="0"/>
    <x v="54"/>
    <x v="1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x v="0"/>
    <x v="30"/>
    <x v="1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x v="0"/>
    <x v="29"/>
    <x v="1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x v="2147"/>
    <x v="0"/>
    <x v="165"/>
    <x v="1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x v="0"/>
    <x v="84"/>
    <x v="1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x v="0"/>
    <x v="78"/>
    <x v="1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x v="2150"/>
    <x v="0"/>
    <x v="80"/>
    <x v="1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x v="0"/>
    <x v="79"/>
    <x v="1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x v="0"/>
    <x v="80"/>
    <x v="1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x v="0"/>
    <x v="80"/>
    <x v="1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x v="0"/>
    <x v="84"/>
    <x v="1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x v="0"/>
    <x v="81"/>
    <x v="1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x v="0"/>
    <x v="183"/>
    <x v="1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x v="0"/>
    <n v="1482479940"/>
    <x v="2157"/>
    <x v="0"/>
    <x v="7"/>
    <x v="1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x v="0"/>
    <x v="409"/>
    <x v="1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x v="0"/>
    <x v="84"/>
    <x v="1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x v="0"/>
    <x v="38"/>
    <x v="1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x v="2161"/>
    <x v="0"/>
    <x v="62"/>
    <x v="0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x v="0"/>
    <x v="6"/>
    <x v="0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x v="0"/>
    <x v="34"/>
    <x v="0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x v="2164"/>
    <x v="0"/>
    <x v="183"/>
    <x v="0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x v="0"/>
    <x v="27"/>
    <x v="0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x v="0"/>
    <x v="58"/>
    <x v="0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x v="0"/>
    <x v="22"/>
    <x v="0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x v="0"/>
    <x v="158"/>
    <x v="0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x v="0"/>
    <x v="63"/>
    <x v="0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x v="0"/>
    <x v="10"/>
    <x v="0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x v="0"/>
    <x v="5"/>
    <x v="0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x v="0"/>
    <x v="62"/>
    <x v="0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x v="0"/>
    <x v="240"/>
    <x v="0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x v="0"/>
    <x v="287"/>
    <x v="0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x v="0"/>
    <x v="55"/>
    <x v="0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x v="0"/>
    <x v="26"/>
    <x v="0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x v="0"/>
    <x v="44"/>
    <x v="0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x v="0"/>
    <x v="410"/>
    <x v="0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x v="0"/>
    <x v="64"/>
    <x v="0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x v="0"/>
    <x v="76"/>
    <x v="0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x v="0"/>
    <x v="28"/>
    <x v="0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x v="0"/>
    <x v="289"/>
    <x v="0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x v="0"/>
    <x v="411"/>
    <x v="0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x v="1"/>
    <x v="161"/>
    <x v="0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x v="0"/>
    <x v="412"/>
    <x v="0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x v="0"/>
    <x v="413"/>
    <x v="0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x v="1"/>
    <x v="414"/>
    <x v="0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x v="0"/>
    <x v="415"/>
    <x v="0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x v="0"/>
    <x v="106"/>
    <x v="0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x v="0"/>
    <x v="416"/>
    <x v="0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x v="0"/>
    <x v="20"/>
    <x v="0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x v="0"/>
    <x v="417"/>
    <x v="0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x v="0"/>
    <x v="418"/>
    <x v="0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x v="0"/>
    <x v="419"/>
    <x v="0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x v="0"/>
    <x v="248"/>
    <x v="0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x v="0"/>
    <x v="302"/>
    <x v="0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x v="0"/>
    <x v="420"/>
    <x v="0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x v="0"/>
    <x v="421"/>
    <x v="0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x v="2199"/>
    <x v="1"/>
    <x v="140"/>
    <x v="0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x v="0"/>
    <x v="40"/>
    <x v="0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x v="0"/>
    <x v="33"/>
    <x v="0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x v="0"/>
    <x v="422"/>
    <x v="0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x v="0"/>
    <x v="133"/>
    <x v="0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x v="0"/>
    <x v="196"/>
    <x v="0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x v="0"/>
    <x v="74"/>
    <x v="0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x v="0"/>
    <x v="69"/>
    <x v="0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x v="0"/>
    <x v="63"/>
    <x v="0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x v="0"/>
    <x v="54"/>
    <x v="0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x v="0"/>
    <x v="41"/>
    <x v="0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x v="0"/>
    <x v="250"/>
    <x v="0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x v="0"/>
    <x v="148"/>
    <x v="0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x v="0"/>
    <x v="252"/>
    <x v="0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x v="0"/>
    <x v="29"/>
    <x v="0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x v="0"/>
    <x v="54"/>
    <x v="0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x v="0"/>
    <x v="51"/>
    <x v="0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x v="0"/>
    <x v="25"/>
    <x v="0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x v="0"/>
    <x v="82"/>
    <x v="0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x v="0"/>
    <x v="88"/>
    <x v="0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x v="0"/>
    <x v="10"/>
    <x v="0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x v="0"/>
    <x v="50"/>
    <x v="0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x v="0"/>
    <x v="423"/>
    <x v="0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x v="0"/>
    <x v="209"/>
    <x v="0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x v="0"/>
    <x v="61"/>
    <x v="0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x v="0"/>
    <x v="228"/>
    <x v="0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x v="0"/>
    <x v="424"/>
    <x v="0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x v="0"/>
    <x v="306"/>
    <x v="0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x v="0"/>
    <x v="425"/>
    <x v="0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x v="0"/>
    <x v="296"/>
    <x v="0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x v="0"/>
    <x v="380"/>
    <x v="0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x v="0"/>
    <x v="156"/>
    <x v="0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x v="0"/>
    <x v="426"/>
    <x v="0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x v="0"/>
    <x v="427"/>
    <x v="0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x v="0"/>
    <x v="428"/>
    <x v="0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x v="0"/>
    <x v="33"/>
    <x v="0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x v="0"/>
    <x v="206"/>
    <x v="0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x v="0"/>
    <x v="340"/>
    <x v="0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x v="0"/>
    <x v="429"/>
    <x v="0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x v="0"/>
    <x v="1"/>
    <x v="0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x v="0"/>
    <x v="374"/>
    <x v="0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x v="0"/>
    <x v="93"/>
    <x v="0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x v="0"/>
    <x v="430"/>
    <x v="0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x v="0"/>
    <x v="431"/>
    <x v="0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x v="0"/>
    <x v="432"/>
    <x v="0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x v="0"/>
    <x v="126"/>
    <x v="0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x v="0"/>
    <x v="433"/>
    <x v="0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x v="0"/>
    <x v="7"/>
    <x v="0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x v="0"/>
    <x v="434"/>
    <x v="0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x v="0"/>
    <x v="130"/>
    <x v="0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x v="0"/>
    <x v="387"/>
    <x v="0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x v="0"/>
    <x v="435"/>
    <x v="0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x v="0"/>
    <x v="436"/>
    <x v="0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x v="0"/>
    <x v="437"/>
    <x v="0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x v="0"/>
    <x v="87"/>
    <x v="0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x v="0"/>
    <x v="438"/>
    <x v="0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x v="0"/>
    <x v="197"/>
    <x v="0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x v="0"/>
    <x v="133"/>
    <x v="0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x v="0"/>
    <x v="39"/>
    <x v="0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x v="0"/>
    <x v="242"/>
    <x v="0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x v="0"/>
    <x v="190"/>
    <x v="0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x v="0"/>
    <x v="87"/>
    <x v="0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x v="0"/>
    <x v="439"/>
    <x v="0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x v="0"/>
    <x v="331"/>
    <x v="0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x v="0"/>
    <x v="65"/>
    <x v="0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x v="0"/>
    <x v="440"/>
    <x v="0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x v="0"/>
    <x v="57"/>
    <x v="0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x v="0"/>
    <x v="441"/>
    <x v="0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x v="0"/>
    <x v="442"/>
    <x v="0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x v="0"/>
    <x v="441"/>
    <x v="0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x v="0"/>
    <x v="443"/>
    <x v="0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x v="0"/>
    <x v="444"/>
    <x v="0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x v="0"/>
    <x v="445"/>
    <x v="0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x v="0"/>
    <x v="446"/>
    <x v="0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x v="0"/>
    <x v="206"/>
    <x v="0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x v="0"/>
    <x v="221"/>
    <x v="0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x v="0"/>
    <x v="1"/>
    <x v="0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x v="0"/>
    <x v="11"/>
    <x v="0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x v="0"/>
    <x v="447"/>
    <x v="0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x v="0"/>
    <x v="332"/>
    <x v="0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x v="0"/>
    <x v="58"/>
    <x v="0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x v="0"/>
    <x v="436"/>
    <x v="0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x v="0"/>
    <x v="202"/>
    <x v="0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x v="0"/>
    <x v="8"/>
    <x v="0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x v="0"/>
    <x v="53"/>
    <x v="0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x v="0"/>
    <x v="211"/>
    <x v="0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x v="0"/>
    <x v="1"/>
    <x v="0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x v="0"/>
    <x v="25"/>
    <x v="0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x v="0"/>
    <x v="448"/>
    <x v="0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x v="0"/>
    <x v="20"/>
    <x v="0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x v="0"/>
    <x v="20"/>
    <x v="0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x v="0"/>
    <x v="60"/>
    <x v="0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x v="0"/>
    <x v="68"/>
    <x v="0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x v="0"/>
    <x v="67"/>
    <x v="0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x v="0"/>
    <x v="74"/>
    <x v="0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x v="0"/>
    <x v="300"/>
    <x v="0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x v="0"/>
    <x v="69"/>
    <x v="0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x v="0"/>
    <x v="108"/>
    <x v="0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x v="0"/>
    <x v="10"/>
    <x v="0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x v="0"/>
    <x v="449"/>
    <x v="0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x v="0"/>
    <x v="25"/>
    <x v="0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x v="0"/>
    <x v="63"/>
    <x v="0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x v="1"/>
    <x v="263"/>
    <x v="0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x v="1"/>
    <x v="268"/>
    <x v="0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x v="1"/>
    <x v="273"/>
    <x v="0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x v="1"/>
    <x v="116"/>
    <x v="0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x v="1"/>
    <x v="157"/>
    <x v="0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x v="1"/>
    <x v="196"/>
    <x v="0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x v="1"/>
    <x v="11"/>
    <x v="0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x v="1"/>
    <x v="450"/>
    <x v="0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x v="1"/>
    <x v="329"/>
    <x v="0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x v="1"/>
    <x v="451"/>
    <x v="0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x v="1"/>
    <x v="201"/>
    <x v="0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x v="1"/>
    <x v="1"/>
    <x v="0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x v="1"/>
    <x v="328"/>
    <x v="0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x v="1"/>
    <x v="133"/>
    <x v="0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x v="1"/>
    <x v="31"/>
    <x v="0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x v="1"/>
    <x v="452"/>
    <x v="0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x v="1"/>
    <x v="19"/>
    <x v="0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x v="1"/>
    <x v="430"/>
    <x v="0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x v="1"/>
    <x v="99"/>
    <x v="0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x v="1"/>
    <x v="30"/>
    <x v="0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x v="0"/>
    <x v="31"/>
    <x v="1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x v="0"/>
    <x v="80"/>
    <x v="1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x v="0"/>
    <x v="80"/>
    <x v="1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x v="0"/>
    <x v="42"/>
    <x v="1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x v="0"/>
    <x v="63"/>
    <x v="1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x v="0"/>
    <x v="29"/>
    <x v="1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x v="1"/>
    <x v="453"/>
    <x v="0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x v="1"/>
    <x v="416"/>
    <x v="0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x v="1"/>
    <x v="207"/>
    <x v="0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x v="1"/>
    <x v="430"/>
    <x v="0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x v="1"/>
    <x v="454"/>
    <x v="0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x v="1"/>
    <x v="455"/>
    <x v="0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x v="1"/>
    <x v="225"/>
    <x v="0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x v="1"/>
    <x v="85"/>
    <x v="0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x v="1"/>
    <x v="170"/>
    <x v="0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x v="1"/>
    <x v="456"/>
    <x v="0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x v="1"/>
    <x v="122"/>
    <x v="0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x v="1"/>
    <x v="252"/>
    <x v="0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x v="1"/>
    <x v="457"/>
    <x v="0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x v="1"/>
    <x v="458"/>
    <x v="0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x v="0"/>
    <x v="78"/>
    <x v="1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x v="0"/>
    <x v="78"/>
    <x v="1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x v="0"/>
    <x v="29"/>
    <x v="1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x v="0"/>
    <x v="29"/>
    <x v="1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x v="0"/>
    <x v="78"/>
    <x v="1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x v="0"/>
    <x v="83"/>
    <x v="1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x v="0"/>
    <x v="29"/>
    <x v="1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x v="0"/>
    <x v="81"/>
    <x v="1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x v="0"/>
    <x v="78"/>
    <x v="1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x v="0"/>
    <x v="78"/>
    <x v="1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x v="0"/>
    <x v="63"/>
    <x v="1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x v="0"/>
    <x v="78"/>
    <x v="1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x v="0"/>
    <x v="78"/>
    <x v="1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x v="0"/>
    <x v="29"/>
    <x v="1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x v="0"/>
    <x v="84"/>
    <x v="1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x v="0"/>
    <x v="78"/>
    <x v="1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x v="0"/>
    <x v="78"/>
    <x v="1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x v="0"/>
    <x v="78"/>
    <x v="1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x v="0"/>
    <x v="83"/>
    <x v="1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x v="0"/>
    <x v="29"/>
    <x v="1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x v="0"/>
    <x v="78"/>
    <x v="1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x v="0"/>
    <x v="84"/>
    <x v="1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x v="0"/>
    <x v="78"/>
    <x v="1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x v="0"/>
    <x v="78"/>
    <x v="1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x v="0"/>
    <x v="78"/>
    <x v="1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x v="0"/>
    <x v="74"/>
    <x v="1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x v="0"/>
    <x v="25"/>
    <x v="1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x v="0"/>
    <x v="84"/>
    <x v="1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x v="0"/>
    <x v="78"/>
    <x v="1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x v="0"/>
    <x v="80"/>
    <x v="1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x v="0"/>
    <x v="78"/>
    <x v="1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x v="0"/>
    <x v="79"/>
    <x v="1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x v="0"/>
    <x v="29"/>
    <x v="1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x v="0"/>
    <x v="29"/>
    <x v="1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x v="0"/>
    <x v="78"/>
    <x v="1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x v="0"/>
    <x v="80"/>
    <x v="1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x v="0"/>
    <x v="78"/>
    <x v="1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x v="0"/>
    <x v="78"/>
    <x v="1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x v="0"/>
    <x v="78"/>
    <x v="1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x v="0"/>
    <x v="83"/>
    <x v="1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x v="0"/>
    <x v="63"/>
    <x v="1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x v="0"/>
    <x v="84"/>
    <x v="1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x v="0"/>
    <x v="83"/>
    <x v="1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x v="0"/>
    <x v="22"/>
    <x v="1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x v="0"/>
    <x v="63"/>
    <x v="1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x v="0"/>
    <x v="78"/>
    <x v="1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x v="0"/>
    <x v="83"/>
    <x v="1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x v="0"/>
    <x v="22"/>
    <x v="1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x v="0"/>
    <x v="29"/>
    <x v="1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x v="0"/>
    <x v="78"/>
    <x v="1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x v="0"/>
    <x v="29"/>
    <x v="1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x v="0"/>
    <x v="78"/>
    <x v="1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x v="0"/>
    <x v="29"/>
    <x v="1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x v="0"/>
    <x v="84"/>
    <x v="1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x v="0"/>
    <x v="78"/>
    <x v="1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x v="0"/>
    <x v="29"/>
    <x v="1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x v="0"/>
    <x v="78"/>
    <x v="1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x v="0"/>
    <x v="78"/>
    <x v="1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x v="0"/>
    <x v="78"/>
    <x v="1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x v="0"/>
    <x v="78"/>
    <x v="1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x v="0"/>
    <x v="82"/>
    <x v="1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x v="0"/>
    <n v="1431533931"/>
    <x v="2402"/>
    <x v="0"/>
    <x v="29"/>
    <x v="1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x v="0"/>
    <x v="8"/>
    <x v="1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x v="0"/>
    <x v="78"/>
    <x v="1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x v="0"/>
    <x v="9"/>
    <x v="1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x v="0"/>
    <x v="38"/>
    <x v="1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x v="0"/>
    <x v="51"/>
    <x v="1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x v="0"/>
    <x v="84"/>
    <x v="1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x v="0"/>
    <x v="79"/>
    <x v="1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x v="0"/>
    <x v="78"/>
    <x v="1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x v="0"/>
    <x v="83"/>
    <x v="1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x v="0"/>
    <x v="78"/>
    <x v="1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x v="0"/>
    <x v="83"/>
    <x v="1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x v="0"/>
    <x v="62"/>
    <x v="1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x v="0"/>
    <x v="79"/>
    <x v="1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x v="0"/>
    <x v="29"/>
    <x v="1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x v="0"/>
    <x v="78"/>
    <x v="1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x v="0"/>
    <n v="1427225644"/>
    <x v="2418"/>
    <x v="0"/>
    <x v="81"/>
    <x v="1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x v="0"/>
    <x v="78"/>
    <x v="1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x v="0"/>
    <x v="17"/>
    <x v="1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x v="0"/>
    <n v="1424536196"/>
    <x v="2421"/>
    <x v="0"/>
    <x v="29"/>
    <x v="1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x v="0"/>
    <x v="29"/>
    <x v="1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x v="0"/>
    <x v="29"/>
    <x v="1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x v="2424"/>
    <x v="0"/>
    <x v="82"/>
    <x v="1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x v="0"/>
    <x v="29"/>
    <x v="1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x v="0"/>
    <x v="78"/>
    <x v="1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x v="0"/>
    <x v="29"/>
    <x v="1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x v="0"/>
    <x v="29"/>
    <x v="1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x v="0"/>
    <x v="80"/>
    <x v="1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x v="0"/>
    <x v="84"/>
    <x v="1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x v="2431"/>
    <x v="0"/>
    <x v="84"/>
    <x v="1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x v="0"/>
    <x v="84"/>
    <x v="1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x v="0"/>
    <x v="78"/>
    <x v="1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x v="0"/>
    <x v="84"/>
    <x v="1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x v="0"/>
    <x v="80"/>
    <x v="1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x v="0"/>
    <x v="84"/>
    <x v="1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x v="0"/>
    <x v="78"/>
    <x v="1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x v="0"/>
    <x v="29"/>
    <x v="1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x v="0"/>
    <x v="78"/>
    <x v="1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x v="0"/>
    <x v="84"/>
    <x v="1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x v="2441"/>
    <x v="0"/>
    <x v="280"/>
    <x v="0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x v="0"/>
    <x v="459"/>
    <x v="0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x v="0"/>
    <x v="409"/>
    <x v="0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x v="0"/>
    <x v="42"/>
    <x v="0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x v="0"/>
    <x v="248"/>
    <x v="0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x v="0"/>
    <x v="112"/>
    <x v="0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x v="0"/>
    <x v="152"/>
    <x v="0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x v="0"/>
    <x v="82"/>
    <x v="0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x v="0"/>
    <x v="148"/>
    <x v="0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x v="0"/>
    <x v="332"/>
    <x v="0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x v="0"/>
    <x v="153"/>
    <x v="0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x v="0"/>
    <x v="41"/>
    <x v="0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x v="0"/>
    <x v="85"/>
    <x v="0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x v="0"/>
    <x v="208"/>
    <x v="0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x v="0"/>
    <x v="38"/>
    <x v="0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x v="0"/>
    <x v="85"/>
    <x v="0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x v="0"/>
    <x v="204"/>
    <x v="0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x v="0"/>
    <x v="144"/>
    <x v="0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x v="0"/>
    <x v="460"/>
    <x v="0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x v="0"/>
    <x v="32"/>
    <x v="0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x v="0"/>
    <x v="48"/>
    <x v="0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x v="0"/>
    <x v="248"/>
    <x v="0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x v="0"/>
    <x v="11"/>
    <x v="0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x v="0"/>
    <x v="68"/>
    <x v="0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x v="0"/>
    <x v="53"/>
    <x v="0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x v="0"/>
    <x v="47"/>
    <x v="0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x v="0"/>
    <x v="68"/>
    <x v="0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x v="0"/>
    <x v="6"/>
    <x v="0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x v="0"/>
    <x v="5"/>
    <x v="0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x v="0"/>
    <x v="17"/>
    <x v="0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x v="0"/>
    <x v="57"/>
    <x v="0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x v="0"/>
    <x v="201"/>
    <x v="0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x v="0"/>
    <x v="5"/>
    <x v="0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x v="0"/>
    <x v="44"/>
    <x v="0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x v="0"/>
    <x v="75"/>
    <x v="0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x v="0"/>
    <x v="165"/>
    <x v="0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x v="0"/>
    <x v="14"/>
    <x v="0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x v="0"/>
    <x v="1"/>
    <x v="0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x v="0"/>
    <x v="38"/>
    <x v="0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x v="0"/>
    <x v="22"/>
    <x v="0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x v="0"/>
    <x v="195"/>
    <x v="0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x v="0"/>
    <x v="20"/>
    <x v="0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x v="0"/>
    <x v="10"/>
    <x v="0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x v="0"/>
    <x v="240"/>
    <x v="0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x v="0"/>
    <x v="14"/>
    <x v="0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x v="0"/>
    <x v="209"/>
    <x v="0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x v="0"/>
    <x v="44"/>
    <x v="0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x v="0"/>
    <x v="71"/>
    <x v="0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x v="0"/>
    <x v="11"/>
    <x v="0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x v="0"/>
    <x v="38"/>
    <x v="0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x v="0"/>
    <x v="73"/>
    <x v="0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x v="0"/>
    <x v="74"/>
    <x v="0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x v="0"/>
    <x v="461"/>
    <x v="0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x v="0"/>
    <x v="70"/>
    <x v="0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x v="0"/>
    <x v="288"/>
    <x v="0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x v="0"/>
    <x v="73"/>
    <x v="0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x v="0"/>
    <x v="66"/>
    <x v="0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x v="0"/>
    <x v="9"/>
    <x v="0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x v="0"/>
    <x v="203"/>
    <x v="0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x v="0"/>
    <x v="60"/>
    <x v="0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x v="0"/>
    <x v="63"/>
    <x v="1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x v="0"/>
    <x v="81"/>
    <x v="1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x v="0"/>
    <x v="78"/>
    <x v="1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x v="0"/>
    <x v="78"/>
    <x v="1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x v="0"/>
    <x v="78"/>
    <x v="1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x v="0"/>
    <x v="84"/>
    <x v="1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x v="2507"/>
    <x v="0"/>
    <x v="78"/>
    <x v="1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x v="0"/>
    <x v="78"/>
    <x v="1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x v="0"/>
    <x v="33"/>
    <x v="1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x v="0"/>
    <x v="84"/>
    <x v="1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x v="0"/>
    <x v="78"/>
    <x v="1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x v="0"/>
    <x v="78"/>
    <x v="1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x v="0"/>
    <x v="78"/>
    <x v="1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x v="0"/>
    <x v="80"/>
    <x v="1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x v="0"/>
    <x v="8"/>
    <x v="1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x v="0"/>
    <x v="78"/>
    <x v="1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x v="0"/>
    <x v="51"/>
    <x v="1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x v="0"/>
    <x v="78"/>
    <x v="1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x v="0"/>
    <x v="80"/>
    <x v="1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x v="0"/>
    <x v="78"/>
    <x v="1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x v="0"/>
    <x v="462"/>
    <x v="0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x v="0"/>
    <x v="74"/>
    <x v="0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x v="0"/>
    <x v="55"/>
    <x v="0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x v="0"/>
    <x v="68"/>
    <x v="0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x v="0"/>
    <x v="144"/>
    <x v="0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x v="0"/>
    <x v="51"/>
    <x v="0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x v="0"/>
    <x v="26"/>
    <x v="0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x v="0"/>
    <x v="75"/>
    <x v="0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x v="0"/>
    <n v="1332636975"/>
    <x v="2529"/>
    <x v="0"/>
    <x v="88"/>
    <x v="0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x v="0"/>
    <x v="53"/>
    <x v="0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x v="0"/>
    <x v="42"/>
    <x v="0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x v="0"/>
    <x v="65"/>
    <x v="0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x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x v="0"/>
    <x v="25"/>
    <x v="0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x v="0"/>
    <n v="1417463945"/>
    <x v="2535"/>
    <x v="0"/>
    <x v="76"/>
    <x v="0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x v="0"/>
    <x v="80"/>
    <x v="0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x v="0"/>
    <x v="202"/>
    <x v="0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x v="0"/>
    <x v="333"/>
    <x v="0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x v="0"/>
    <x v="211"/>
    <x v="0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x v="0"/>
    <x v="74"/>
    <x v="0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x v="0"/>
    <x v="287"/>
    <x v="0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x v="0"/>
    <x v="62"/>
    <x v="0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x v="0"/>
    <x v="62"/>
    <x v="0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x v="0"/>
    <x v="7"/>
    <x v="0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x v="0"/>
    <x v="42"/>
    <x v="0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x v="0"/>
    <x v="71"/>
    <x v="0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x v="0"/>
    <x v="179"/>
    <x v="0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x v="0"/>
    <x v="77"/>
    <x v="0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x v="0"/>
    <x v="77"/>
    <x v="0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x v="0"/>
    <x v="3"/>
    <x v="0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x v="0"/>
    <x v="66"/>
    <x v="0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x v="0"/>
    <x v="59"/>
    <x v="0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x v="0"/>
    <x v="65"/>
    <x v="0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x v="0"/>
    <x v="85"/>
    <x v="0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x v="0"/>
    <x v="2"/>
    <x v="0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x v="0"/>
    <x v="69"/>
    <x v="0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x v="0"/>
    <x v="17"/>
    <x v="0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x v="0"/>
    <x v="59"/>
    <x v="0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x v="0"/>
    <x v="20"/>
    <x v="0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x v="0"/>
    <x v="64"/>
    <x v="0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x v="0"/>
    <x v="78"/>
    <x v="1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x v="0"/>
    <x v="83"/>
    <x v="1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x v="0"/>
    <x v="78"/>
    <x v="1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x v="0"/>
    <x v="78"/>
    <x v="1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x v="0"/>
    <x v="29"/>
    <x v="1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x v="0"/>
    <x v="78"/>
    <x v="1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x v="0"/>
    <x v="84"/>
    <x v="1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x v="0"/>
    <x v="29"/>
    <x v="1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x v="0"/>
    <x v="84"/>
    <x v="1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x v="0"/>
    <x v="84"/>
    <x v="1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x v="0"/>
    <x v="80"/>
    <x v="1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x v="0"/>
    <x v="78"/>
    <x v="1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x v="0"/>
    <x v="78"/>
    <x v="1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x v="0"/>
    <x v="78"/>
    <x v="1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x v="0"/>
    <x v="78"/>
    <x v="1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x v="0"/>
    <x v="78"/>
    <x v="1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x v="0"/>
    <x v="78"/>
    <x v="1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x v="0"/>
    <x v="78"/>
    <x v="1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x v="0"/>
    <x v="8"/>
    <x v="1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x v="0"/>
    <x v="84"/>
    <x v="1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x v="0"/>
    <x v="202"/>
    <x v="1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x v="0"/>
    <n v="1477784634"/>
    <x v="2582"/>
    <x v="0"/>
    <x v="29"/>
    <x v="1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x v="0"/>
    <x v="81"/>
    <x v="1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x v="0"/>
    <x v="78"/>
    <x v="1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x v="0"/>
    <x v="29"/>
    <x v="1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x v="0"/>
    <x v="29"/>
    <x v="1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x v="0"/>
    <x v="79"/>
    <x v="1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x v="0"/>
    <x v="22"/>
    <x v="1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x v="0"/>
    <x v="29"/>
    <x v="1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x v="0"/>
    <x v="78"/>
    <x v="1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x v="0"/>
    <x v="84"/>
    <x v="1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x v="0"/>
    <x v="29"/>
    <x v="1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x v="0"/>
    <x v="78"/>
    <x v="1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x v="0"/>
    <x v="29"/>
    <x v="1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x v="0"/>
    <x v="10"/>
    <x v="1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x v="0"/>
    <x v="74"/>
    <x v="1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x v="0"/>
    <x v="63"/>
    <x v="1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x v="0"/>
    <x v="25"/>
    <x v="1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x v="0"/>
    <x v="81"/>
    <x v="1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x v="0"/>
    <x v="209"/>
    <x v="1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x v="1"/>
    <x v="299"/>
    <x v="0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x v="1"/>
    <x v="463"/>
    <x v="0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x v="1"/>
    <x v="133"/>
    <x v="0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x v="1"/>
    <x v="306"/>
    <x v="0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x v="1"/>
    <x v="464"/>
    <x v="0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x v="1"/>
    <x v="465"/>
    <x v="0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x v="1"/>
    <x v="367"/>
    <x v="0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x v="1"/>
    <x v="466"/>
    <x v="0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x v="1"/>
    <x v="467"/>
    <x v="0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x v="1"/>
    <x v="468"/>
    <x v="0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x v="1"/>
    <x v="469"/>
    <x v="0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x v="1"/>
    <x v="324"/>
    <x v="0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x v="1"/>
    <x v="33"/>
    <x v="0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x v="1"/>
    <x v="61"/>
    <x v="0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x v="0"/>
    <x v="250"/>
    <x v="0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x v="1"/>
    <x v="146"/>
    <x v="0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x v="1"/>
    <x v="180"/>
    <x v="0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x v="1"/>
    <x v="99"/>
    <x v="0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x v="1"/>
    <x v="28"/>
    <x v="0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x v="1"/>
    <x v="470"/>
    <x v="0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x v="1"/>
    <x v="471"/>
    <x v="0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x v="0"/>
    <x v="142"/>
    <x v="0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x v="0"/>
    <x v="95"/>
    <x v="0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x v="0"/>
    <x v="472"/>
    <x v="0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x v="0"/>
    <x v="47"/>
    <x v="0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x v="0"/>
    <x v="133"/>
    <x v="0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x v="0"/>
    <x v="43"/>
    <x v="0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x v="0"/>
    <x v="64"/>
    <x v="0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x v="0"/>
    <x v="61"/>
    <x v="0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x v="0"/>
    <x v="75"/>
    <x v="0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x v="0"/>
    <x v="172"/>
    <x v="0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x v="0"/>
    <x v="288"/>
    <x v="0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x v="0"/>
    <x v="473"/>
    <x v="0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x v="0"/>
    <x v="20"/>
    <x v="0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x v="0"/>
    <x v="87"/>
    <x v="0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x v="0"/>
    <x v="133"/>
    <x v="0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x v="0"/>
    <x v="55"/>
    <x v="0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x v="0"/>
    <x v="25"/>
    <x v="0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x v="0"/>
    <x v="72"/>
    <x v="0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x v="0"/>
    <x v="50"/>
    <x v="0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x v="0"/>
    <x v="29"/>
    <x v="1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x v="0"/>
    <x v="78"/>
    <x v="1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x v="1"/>
    <x v="474"/>
    <x v="1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x v="1"/>
    <x v="47"/>
    <x v="1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x v="1"/>
    <x v="23"/>
    <x v="1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x v="1"/>
    <x v="475"/>
    <x v="1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x v="0"/>
    <x v="83"/>
    <x v="1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x v="0"/>
    <x v="79"/>
    <x v="1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x v="2649"/>
    <x v="0"/>
    <x v="83"/>
    <x v="1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x v="0"/>
    <x v="81"/>
    <x v="1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x v="0"/>
    <x v="57"/>
    <x v="1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x v="0"/>
    <x v="202"/>
    <x v="1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x v="0"/>
    <x v="16"/>
    <x v="1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x v="0"/>
    <x v="79"/>
    <x v="1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x v="0"/>
    <n v="1455048000"/>
    <x v="2655"/>
    <x v="0"/>
    <x v="68"/>
    <x v="1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x v="0"/>
    <x v="215"/>
    <x v="1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x v="0"/>
    <x v="211"/>
    <x v="1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x v="0"/>
    <x v="80"/>
    <x v="1"/>
    <s v="technology/space exploration"/>
    <x v="50"/>
    <x v="1878"/>
    <x v="2"/>
    <x v="36"/>
  </r>
  <r>
    <n v="2659"/>
    <s v="test (Canceled)"/>
    <s v="test"/>
    <n v="49000"/>
    <n v="1333"/>
    <x v="1"/>
    <x v="0"/>
    <x v="0"/>
    <n v="1429321210"/>
    <x v="2659"/>
    <x v="0"/>
    <x v="73"/>
    <x v="1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x v="0"/>
    <x v="81"/>
    <x v="1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x v="0"/>
    <x v="65"/>
    <x v="0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x v="0"/>
    <x v="144"/>
    <x v="0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x v="0"/>
    <x v="66"/>
    <x v="0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x v="0"/>
    <x v="201"/>
    <x v="0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x v="0"/>
    <x v="67"/>
    <x v="0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x v="0"/>
    <x v="190"/>
    <x v="0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x v="0"/>
    <x v="59"/>
    <x v="0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x v="2668"/>
    <x v="0"/>
    <x v="33"/>
    <x v="0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x v="0"/>
    <x v="202"/>
    <x v="0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x v="1"/>
    <x v="65"/>
    <x v="1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x v="1"/>
    <x v="87"/>
    <x v="1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x v="1"/>
    <x v="5"/>
    <x v="1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x v="1"/>
    <x v="36"/>
    <x v="1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x v="1"/>
    <x v="199"/>
    <x v="1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x v="1"/>
    <x v="60"/>
    <x v="1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x v="0"/>
    <x v="82"/>
    <x v="1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x v="0"/>
    <x v="74"/>
    <x v="1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x v="0"/>
    <x v="84"/>
    <x v="1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x v="0"/>
    <x v="83"/>
    <x v="1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x v="3"/>
    <n v="1459915491"/>
    <x v="2680"/>
    <x v="0"/>
    <x v="80"/>
    <x v="1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x v="0"/>
    <x v="84"/>
    <x v="1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x v="0"/>
    <x v="9"/>
    <x v="1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x v="0"/>
    <x v="83"/>
    <x v="1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x v="0"/>
    <x v="80"/>
    <x v="1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x v="0"/>
    <x v="29"/>
    <x v="1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x v="0"/>
    <x v="78"/>
    <x v="1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x v="0"/>
    <x v="78"/>
    <x v="1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x v="2688"/>
    <x v="0"/>
    <x v="25"/>
    <x v="1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x v="0"/>
    <x v="29"/>
    <x v="1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x v="0"/>
    <x v="115"/>
    <x v="1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x v="2691"/>
    <x v="0"/>
    <x v="84"/>
    <x v="1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x v="0"/>
    <x v="29"/>
    <x v="1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x v="0"/>
    <x v="83"/>
    <x v="1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x v="0"/>
    <x v="29"/>
    <x v="1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x v="0"/>
    <x v="83"/>
    <x v="1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x v="0"/>
    <x v="44"/>
    <x v="1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x v="0"/>
    <x v="47"/>
    <x v="1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x v="0"/>
    <x v="84"/>
    <x v="1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x v="0"/>
    <x v="78"/>
    <x v="1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x v="0"/>
    <x v="80"/>
    <x v="1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x v="0"/>
    <x v="67"/>
    <x v="1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x v="1"/>
    <x v="55"/>
    <x v="1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x v="0"/>
    <x v="43"/>
    <x v="1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x v="0"/>
    <x v="63"/>
    <x v="1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x v="0"/>
    <x v="22"/>
    <x v="1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x v="1"/>
    <x v="40"/>
    <x v="0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x v="1"/>
    <x v="476"/>
    <x v="0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x v="1"/>
    <x v="477"/>
    <x v="0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x v="1"/>
    <x v="478"/>
    <x v="0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x v="1"/>
    <x v="479"/>
    <x v="0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x v="1"/>
    <x v="196"/>
    <x v="0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x v="1"/>
    <x v="235"/>
    <x v="0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x v="1"/>
    <x v="480"/>
    <x v="0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x v="1"/>
    <x v="120"/>
    <x v="0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x v="1"/>
    <x v="481"/>
    <x v="0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x v="1"/>
    <x v="482"/>
    <x v="0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x v="1"/>
    <x v="166"/>
    <x v="0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x v="1"/>
    <x v="265"/>
    <x v="0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x v="0"/>
    <x v="50"/>
    <x v="0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x v="0"/>
    <x v="210"/>
    <x v="0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x v="0"/>
    <x v="314"/>
    <x v="0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x v="0"/>
    <x v="333"/>
    <x v="0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x v="0"/>
    <x v="282"/>
    <x v="0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x v="0"/>
    <x v="483"/>
    <x v="0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x v="0"/>
    <x v="116"/>
    <x v="0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x v="2726"/>
    <x v="0"/>
    <x v="442"/>
    <x v="0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x v="0"/>
    <x v="484"/>
    <x v="0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x v="0"/>
    <x v="413"/>
    <x v="0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x v="0"/>
    <x v="23"/>
    <x v="0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x v="0"/>
    <x v="345"/>
    <x v="0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x v="0"/>
    <x v="77"/>
    <x v="0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x v="0"/>
    <x v="96"/>
    <x v="0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x v="0"/>
    <x v="46"/>
    <x v="0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x v="0"/>
    <x v="430"/>
    <x v="0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x v="0"/>
    <x v="485"/>
    <x v="0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x v="0"/>
    <x v="6"/>
    <x v="0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x v="0"/>
    <x v="231"/>
    <x v="0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x v="0"/>
    <x v="41"/>
    <x v="0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x v="0"/>
    <x v="277"/>
    <x v="0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x v="0"/>
    <x v="57"/>
    <x v="0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x v="0"/>
    <x v="80"/>
    <x v="1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x v="0"/>
    <x v="59"/>
    <x v="1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x v="0"/>
    <x v="78"/>
    <x v="1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x v="0"/>
    <x v="19"/>
    <x v="1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x v="0"/>
    <x v="72"/>
    <x v="1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x v="0"/>
    <x v="10"/>
    <x v="1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x v="0"/>
    <x v="80"/>
    <x v="1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x v="0"/>
    <x v="80"/>
    <x v="1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x v="0"/>
    <x v="84"/>
    <x v="1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x v="0"/>
    <x v="78"/>
    <x v="1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x v="0"/>
    <x v="78"/>
    <x v="1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x v="0"/>
    <x v="25"/>
    <x v="1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x v="0"/>
    <x v="22"/>
    <x v="1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x v="0"/>
    <x v="78"/>
    <x v="1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x v="0"/>
    <x v="41"/>
    <x v="1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x v="0"/>
    <x v="51"/>
    <x v="1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x v="0"/>
    <n v="1470498332"/>
    <x v="2757"/>
    <x v="0"/>
    <x v="84"/>
    <x v="1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x v="0"/>
    <x v="79"/>
    <x v="1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x v="0"/>
    <x v="84"/>
    <x v="1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x v="0"/>
    <x v="78"/>
    <x v="1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x v="0"/>
    <x v="80"/>
    <x v="1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x v="0"/>
    <x v="29"/>
    <x v="1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x v="0"/>
    <x v="83"/>
    <x v="1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x v="0"/>
    <x v="80"/>
    <x v="1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x v="0"/>
    <x v="78"/>
    <x v="1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x v="0"/>
    <x v="80"/>
    <x v="1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x v="0"/>
    <x v="83"/>
    <x v="1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x v="0"/>
    <x v="69"/>
    <x v="1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x v="0"/>
    <x v="84"/>
    <x v="1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x v="0"/>
    <x v="51"/>
    <x v="1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x v="0"/>
    <x v="78"/>
    <x v="1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x v="0"/>
    <x v="78"/>
    <x v="1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x v="0"/>
    <x v="29"/>
    <x v="1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x v="0"/>
    <x v="62"/>
    <x v="1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x v="0"/>
    <x v="84"/>
    <x v="1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x v="0"/>
    <x v="17"/>
    <x v="1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x v="0"/>
    <x v="29"/>
    <x v="1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x v="0"/>
    <x v="41"/>
    <x v="1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x v="0"/>
    <x v="29"/>
    <x v="1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x v="0"/>
    <x v="78"/>
    <x v="1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x v="0"/>
    <x v="33"/>
    <x v="0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x v="0"/>
    <x v="59"/>
    <x v="0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x v="0"/>
    <x v="42"/>
    <x v="0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x v="0"/>
    <x v="52"/>
    <x v="0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x v="0"/>
    <x v="136"/>
    <x v="0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x v="2786"/>
    <x v="0"/>
    <x v="142"/>
    <x v="0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x v="0"/>
    <x v="44"/>
    <x v="0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x v="0"/>
    <x v="9"/>
    <x v="0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x v="2789"/>
    <x v="0"/>
    <x v="54"/>
    <x v="0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x v="0"/>
    <x v="36"/>
    <x v="0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x v="0"/>
    <x v="33"/>
    <x v="0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x v="0"/>
    <x v="54"/>
    <x v="0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x v="0"/>
    <x v="196"/>
    <x v="0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x v="0"/>
    <x v="83"/>
    <x v="0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x v="0"/>
    <x v="9"/>
    <x v="0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x v="0"/>
    <x v="64"/>
    <x v="0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x v="0"/>
    <x v="225"/>
    <x v="0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x v="0"/>
    <x v="237"/>
    <x v="0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x v="0"/>
    <x v="208"/>
    <x v="0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x v="0"/>
    <x v="162"/>
    <x v="0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x v="0"/>
    <x v="62"/>
    <x v="0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x v="0"/>
    <x v="240"/>
    <x v="0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x v="0"/>
    <x v="261"/>
    <x v="0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x v="0"/>
    <x v="23"/>
    <x v="0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x v="0"/>
    <x v="59"/>
    <x v="0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x v="0"/>
    <x v="88"/>
    <x v="0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x v="0"/>
    <n v="1435611438"/>
    <x v="2807"/>
    <x v="0"/>
    <x v="251"/>
    <x v="0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x v="0"/>
    <x v="50"/>
    <x v="0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x v="0"/>
    <x v="64"/>
    <x v="0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x v="0"/>
    <x v="7"/>
    <x v="0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x v="0"/>
    <x v="52"/>
    <x v="0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x v="0"/>
    <x v="183"/>
    <x v="0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x v="0"/>
    <x v="93"/>
    <x v="0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x v="0"/>
    <x v="31"/>
    <x v="0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x v="0"/>
    <x v="25"/>
    <x v="0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x v="0"/>
    <x v="39"/>
    <x v="0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x v="0"/>
    <x v="51"/>
    <x v="0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x v="0"/>
    <x v="332"/>
    <x v="0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x v="0"/>
    <x v="201"/>
    <x v="0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x v="0"/>
    <x v="9"/>
    <x v="0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x v="0"/>
    <x v="2"/>
    <x v="0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x v="0"/>
    <x v="225"/>
    <x v="0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x v="0"/>
    <x v="25"/>
    <x v="0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x v="0"/>
    <x v="41"/>
    <x v="0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x v="0"/>
    <x v="13"/>
    <x v="0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x v="0"/>
    <x v="10"/>
    <x v="0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x v="0"/>
    <x v="23"/>
    <x v="0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x v="0"/>
    <x v="174"/>
    <x v="0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x v="0"/>
    <x v="88"/>
    <x v="0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x v="0"/>
    <x v="202"/>
    <x v="0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x v="0"/>
    <x v="47"/>
    <x v="0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x v="0"/>
    <x v="195"/>
    <x v="0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x v="0"/>
    <n v="1444528800"/>
    <x v="2833"/>
    <x v="0"/>
    <x v="2"/>
    <x v="0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x v="0"/>
    <x v="64"/>
    <x v="0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x v="0"/>
    <x v="251"/>
    <x v="0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x v="0"/>
    <x v="202"/>
    <x v="0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x v="0"/>
    <x v="64"/>
    <x v="0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x v="0"/>
    <x v="241"/>
    <x v="0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x v="0"/>
    <x v="162"/>
    <x v="0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x v="0"/>
    <x v="462"/>
    <x v="0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x v="0"/>
    <x v="29"/>
    <x v="1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x v="0"/>
    <x v="78"/>
    <x v="1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x v="0"/>
    <x v="78"/>
    <x v="1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x v="0"/>
    <x v="29"/>
    <x v="1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x v="0"/>
    <x v="70"/>
    <x v="1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x v="0"/>
    <x v="78"/>
    <x v="1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x v="0"/>
    <x v="78"/>
    <x v="1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x v="0"/>
    <x v="83"/>
    <x v="1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x v="0"/>
    <x v="29"/>
    <x v="1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x v="0"/>
    <x v="62"/>
    <x v="1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x v="0"/>
    <x v="78"/>
    <x v="1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x v="0"/>
    <x v="79"/>
    <x v="1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x v="0"/>
    <x v="78"/>
    <x v="1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x v="0"/>
    <x v="25"/>
    <x v="1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x v="0"/>
    <x v="81"/>
    <x v="1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x v="0"/>
    <x v="79"/>
    <x v="1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x v="0"/>
    <x v="41"/>
    <x v="1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x v="0"/>
    <x v="78"/>
    <x v="1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x v="0"/>
    <x v="29"/>
    <x v="1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x v="0"/>
    <x v="82"/>
    <x v="1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x v="0"/>
    <x v="83"/>
    <x v="1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x v="0"/>
    <x v="83"/>
    <x v="1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x v="0"/>
    <x v="29"/>
    <x v="1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x v="2864"/>
    <x v="0"/>
    <x v="83"/>
    <x v="1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x v="0"/>
    <x v="78"/>
    <x v="1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x v="0"/>
    <x v="84"/>
    <x v="1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x v="0"/>
    <x v="73"/>
    <x v="1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x v="0"/>
    <x v="65"/>
    <x v="1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x v="0"/>
    <x v="81"/>
    <x v="1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x v="0"/>
    <x v="82"/>
    <x v="1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x v="0"/>
    <x v="62"/>
    <x v="1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x v="0"/>
    <x v="78"/>
    <x v="1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x v="0"/>
    <x v="22"/>
    <x v="1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x v="0"/>
    <x v="83"/>
    <x v="1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x v="0"/>
    <x v="83"/>
    <x v="1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x v="0"/>
    <x v="78"/>
    <x v="1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x v="0"/>
    <x v="79"/>
    <x v="1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x v="0"/>
    <x v="80"/>
    <x v="1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x v="0"/>
    <x v="29"/>
    <x v="1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x v="0"/>
    <x v="60"/>
    <x v="1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x v="0"/>
    <x v="78"/>
    <x v="1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x v="0"/>
    <x v="80"/>
    <x v="1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x v="0"/>
    <x v="81"/>
    <x v="1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x v="0"/>
    <x v="80"/>
    <x v="1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x v="0"/>
    <x v="81"/>
    <x v="1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x v="0"/>
    <x v="29"/>
    <x v="1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x v="0"/>
    <x v="29"/>
    <x v="1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x v="0"/>
    <x v="78"/>
    <x v="1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x v="0"/>
    <x v="25"/>
    <x v="1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x v="0"/>
    <x v="83"/>
    <x v="1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x v="0"/>
    <x v="73"/>
    <x v="1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x v="0"/>
    <x v="57"/>
    <x v="1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x v="0"/>
    <n v="1420768800"/>
    <x v="2893"/>
    <x v="0"/>
    <x v="84"/>
    <x v="1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x v="0"/>
    <x v="78"/>
    <x v="1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x v="0"/>
    <x v="80"/>
    <x v="1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x v="0"/>
    <x v="8"/>
    <x v="1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x v="0"/>
    <x v="83"/>
    <x v="1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x v="0"/>
    <x v="8"/>
    <x v="1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x v="0"/>
    <x v="78"/>
    <x v="1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x v="0"/>
    <x v="63"/>
    <x v="1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x v="0"/>
    <x v="84"/>
    <x v="1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x v="0"/>
    <x v="29"/>
    <x v="1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x v="0"/>
    <x v="80"/>
    <x v="1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x v="0"/>
    <x v="80"/>
    <x v="1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x v="0"/>
    <x v="57"/>
    <x v="1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x v="0"/>
    <x v="63"/>
    <x v="1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x v="0"/>
    <x v="84"/>
    <x v="1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x v="0"/>
    <x v="81"/>
    <x v="1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x v="0"/>
    <x v="29"/>
    <x v="1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x v="0"/>
    <x v="29"/>
    <x v="1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x v="0"/>
    <x v="25"/>
    <x v="1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x v="0"/>
    <x v="55"/>
    <x v="1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x v="0"/>
    <x v="84"/>
    <x v="1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x v="0"/>
    <x v="29"/>
    <x v="1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x v="0"/>
    <x v="83"/>
    <x v="1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x v="0"/>
    <x v="63"/>
    <x v="1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x v="0"/>
    <x v="82"/>
    <x v="1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x v="0"/>
    <x v="9"/>
    <x v="1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x v="0"/>
    <x v="79"/>
    <x v="1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x v="0"/>
    <x v="62"/>
    <x v="1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x v="0"/>
    <x v="83"/>
    <x v="0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x v="0"/>
    <x v="79"/>
    <x v="0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x v="0"/>
    <x v="73"/>
    <x v="0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x v="0"/>
    <x v="206"/>
    <x v="0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x v="0"/>
    <x v="473"/>
    <x v="0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x v="0"/>
    <x v="133"/>
    <x v="0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x v="0"/>
    <x v="64"/>
    <x v="0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x v="0"/>
    <x v="54"/>
    <x v="0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x v="0"/>
    <x v="58"/>
    <x v="0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x v="0"/>
    <x v="95"/>
    <x v="0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x v="0"/>
    <x v="82"/>
    <x v="0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x v="0"/>
    <x v="44"/>
    <x v="0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x v="0"/>
    <x v="241"/>
    <x v="0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x v="0"/>
    <x v="77"/>
    <x v="0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x v="0"/>
    <x v="70"/>
    <x v="0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x v="0"/>
    <x v="69"/>
    <x v="0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x v="2937"/>
    <x v="0"/>
    <x v="165"/>
    <x v="0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x v="0"/>
    <x v="58"/>
    <x v="0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x v="0"/>
    <x v="20"/>
    <x v="0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x v="0"/>
    <x v="51"/>
    <x v="0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x v="0"/>
    <x v="29"/>
    <x v="1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x v="0"/>
    <x v="91"/>
    <x v="1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x v="0"/>
    <x v="78"/>
    <x v="1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x v="0"/>
    <x v="29"/>
    <x v="1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x v="0"/>
    <x v="78"/>
    <x v="1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x v="0"/>
    <x v="84"/>
    <x v="1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x v="0"/>
    <x v="62"/>
    <x v="1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x v="0"/>
    <x v="82"/>
    <x v="1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x v="0"/>
    <x v="84"/>
    <x v="1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x v="0"/>
    <x v="78"/>
    <x v="1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x v="0"/>
    <x v="6"/>
    <x v="1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x v="0"/>
    <x v="22"/>
    <x v="1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x v="0"/>
    <x v="83"/>
    <x v="1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x v="0"/>
    <x v="78"/>
    <x v="1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x v="0"/>
    <x v="202"/>
    <x v="1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x v="0"/>
    <x v="9"/>
    <x v="1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x v="0"/>
    <x v="83"/>
    <x v="1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x v="0"/>
    <x v="78"/>
    <x v="1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x v="0"/>
    <x v="78"/>
    <x v="1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x v="0"/>
    <x v="78"/>
    <x v="1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x v="0"/>
    <x v="52"/>
    <x v="0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x v="0"/>
    <x v="9"/>
    <x v="0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x v="0"/>
    <x v="15"/>
    <x v="0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x v="0"/>
    <x v="193"/>
    <x v="0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x v="0"/>
    <x v="70"/>
    <x v="0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x v="0"/>
    <x v="130"/>
    <x v="0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x v="0"/>
    <x v="26"/>
    <x v="0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x v="0"/>
    <x v="5"/>
    <x v="0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x v="0"/>
    <x v="57"/>
    <x v="0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x v="0"/>
    <x v="110"/>
    <x v="0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x v="0"/>
    <x v="68"/>
    <x v="0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x v="0"/>
    <x v="57"/>
    <x v="0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x v="0"/>
    <x v="51"/>
    <x v="0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x v="0"/>
    <x v="45"/>
    <x v="0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x v="0"/>
    <x v="116"/>
    <x v="0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x v="0"/>
    <x v="25"/>
    <x v="0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x v="0"/>
    <x v="209"/>
    <x v="0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x v="0"/>
    <x v="38"/>
    <x v="0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x v="0"/>
    <x v="67"/>
    <x v="0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x v="0"/>
    <x v="54"/>
    <x v="0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x v="1"/>
    <x v="174"/>
    <x v="0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x v="1"/>
    <x v="211"/>
    <x v="0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x v="1"/>
    <x v="486"/>
    <x v="0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x v="1"/>
    <x v="423"/>
    <x v="0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x v="0"/>
    <x v="112"/>
    <x v="0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x v="0"/>
    <x v="66"/>
    <x v="0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x v="0"/>
    <x v="236"/>
    <x v="0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x v="0"/>
    <x v="33"/>
    <x v="0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x v="0"/>
    <n v="1450673940"/>
    <x v="2989"/>
    <x v="0"/>
    <x v="487"/>
    <x v="0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x v="0"/>
    <x v="74"/>
    <x v="0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x v="0"/>
    <x v="251"/>
    <x v="0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x v="0"/>
    <x v="31"/>
    <x v="0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x v="0"/>
    <n v="1455998867"/>
    <x v="2993"/>
    <x v="0"/>
    <x v="19"/>
    <x v="0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x v="0"/>
    <x v="211"/>
    <x v="0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x v="0"/>
    <x v="437"/>
    <x v="0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x v="0"/>
    <x v="413"/>
    <x v="0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x v="0"/>
    <x v="248"/>
    <x v="0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x v="0"/>
    <x v="488"/>
    <x v="0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x v="0"/>
    <x v="9"/>
    <x v="0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x v="0"/>
    <x v="22"/>
    <x v="0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x v="0"/>
    <x v="489"/>
    <x v="0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x v="0"/>
    <x v="201"/>
    <x v="0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x v="0"/>
    <x v="57"/>
    <x v="0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x v="0"/>
    <x v="490"/>
    <x v="0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x v="0"/>
    <x v="115"/>
    <x v="0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x v="0"/>
    <x v="174"/>
    <x v="0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x v="0"/>
    <n v="1429938683"/>
    <x v="3007"/>
    <x v="0"/>
    <x v="9"/>
    <x v="0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x v="0"/>
    <x v="55"/>
    <x v="0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x v="0"/>
    <x v="130"/>
    <x v="0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x v="0"/>
    <x v="41"/>
    <x v="0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x v="0"/>
    <x v="20"/>
    <x v="0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x v="0"/>
    <x v="165"/>
    <x v="0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x v="0"/>
    <x v="329"/>
    <x v="0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x v="0"/>
    <x v="491"/>
    <x v="0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x v="0"/>
    <x v="244"/>
    <x v="0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x v="0"/>
    <x v="17"/>
    <x v="0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x v="0"/>
    <x v="180"/>
    <x v="0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x v="0"/>
    <x v="14"/>
    <x v="0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x v="0"/>
    <x v="334"/>
    <x v="0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x v="0"/>
    <x v="209"/>
    <x v="0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x v="0"/>
    <x v="273"/>
    <x v="0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x v="0"/>
    <x v="95"/>
    <x v="0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x v="0"/>
    <x v="79"/>
    <x v="0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x v="0"/>
    <x v="0"/>
    <x v="0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x v="0"/>
    <x v="108"/>
    <x v="0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x v="0"/>
    <x v="20"/>
    <x v="0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x v="0"/>
    <x v="492"/>
    <x v="0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x v="0"/>
    <x v="221"/>
    <x v="0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x v="0"/>
    <x v="493"/>
    <x v="0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x v="0"/>
    <x v="14"/>
    <x v="0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x v="0"/>
    <x v="60"/>
    <x v="0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x v="0"/>
    <x v="20"/>
    <x v="0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x v="0"/>
    <x v="23"/>
    <x v="0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x v="0"/>
    <x v="494"/>
    <x v="0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x v="0"/>
    <x v="495"/>
    <x v="0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x v="0"/>
    <x v="313"/>
    <x v="0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x v="0"/>
    <x v="58"/>
    <x v="0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x v="0"/>
    <x v="74"/>
    <x v="0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x v="0"/>
    <x v="163"/>
    <x v="0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x v="0"/>
    <x v="288"/>
    <x v="0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x v="0"/>
    <x v="195"/>
    <x v="0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x v="0"/>
    <x v="77"/>
    <x v="0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x v="0"/>
    <x v="130"/>
    <x v="0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x v="0"/>
    <x v="239"/>
    <x v="0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x v="0"/>
    <x v="31"/>
    <x v="0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x v="0"/>
    <x v="6"/>
    <x v="0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x v="0"/>
    <x v="9"/>
    <x v="0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x v="0"/>
    <x v="5"/>
    <x v="0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x v="0"/>
    <x v="241"/>
    <x v="0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x v="0"/>
    <x v="82"/>
    <x v="0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x v="1"/>
    <x v="2"/>
    <x v="1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x v="0"/>
    <x v="84"/>
    <x v="1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x v="0"/>
    <x v="83"/>
    <x v="1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x v="0"/>
    <x v="78"/>
    <x v="1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x v="0"/>
    <x v="29"/>
    <x v="1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x v="0"/>
    <x v="78"/>
    <x v="1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x v="0"/>
    <x v="78"/>
    <x v="1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x v="0"/>
    <x v="83"/>
    <x v="1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x v="0"/>
    <x v="202"/>
    <x v="1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x v="0"/>
    <x v="79"/>
    <x v="1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x v="0"/>
    <n v="1407955748"/>
    <x v="3061"/>
    <x v="0"/>
    <x v="78"/>
    <x v="1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x v="0"/>
    <x v="85"/>
    <x v="1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x v="0"/>
    <x v="23"/>
    <x v="1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x v="0"/>
    <x v="250"/>
    <x v="1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x v="0"/>
    <x v="84"/>
    <x v="1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x v="0"/>
    <x v="41"/>
    <x v="1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x v="0"/>
    <x v="29"/>
    <x v="1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x v="0"/>
    <x v="84"/>
    <x v="1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x v="0"/>
    <x v="63"/>
    <x v="1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x v="0"/>
    <x v="38"/>
    <x v="1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x v="0"/>
    <x v="27"/>
    <x v="1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x v="0"/>
    <x v="84"/>
    <x v="1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x v="0"/>
    <x v="63"/>
    <x v="1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x v="0"/>
    <x v="83"/>
    <x v="1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x v="0"/>
    <x v="9"/>
    <x v="1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x v="3076"/>
    <x v="0"/>
    <x v="133"/>
    <x v="1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x v="0"/>
    <x v="84"/>
    <x v="1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x v="0"/>
    <x v="83"/>
    <x v="1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x v="0"/>
    <x v="74"/>
    <x v="1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x v="0"/>
    <x v="63"/>
    <x v="1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x v="0"/>
    <x v="81"/>
    <x v="1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x v="0"/>
    <x v="78"/>
    <x v="1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x v="0"/>
    <x v="83"/>
    <x v="1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x v="0"/>
    <x v="79"/>
    <x v="1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x v="0"/>
    <x v="82"/>
    <x v="1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x v="0"/>
    <x v="83"/>
    <x v="1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x v="0"/>
    <x v="84"/>
    <x v="1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x v="0"/>
    <x v="83"/>
    <x v="1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x v="0"/>
    <x v="43"/>
    <x v="1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x v="0"/>
    <x v="82"/>
    <x v="1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x v="0"/>
    <x v="82"/>
    <x v="1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x v="0"/>
    <x v="64"/>
    <x v="1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x v="0"/>
    <x v="57"/>
    <x v="1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x v="0"/>
    <x v="29"/>
    <x v="1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x v="0"/>
    <x v="29"/>
    <x v="1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x v="0"/>
    <x v="25"/>
    <x v="1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x v="0"/>
    <x v="288"/>
    <x v="1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x v="0"/>
    <x v="74"/>
    <x v="1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x v="0"/>
    <x v="81"/>
    <x v="1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x v="0"/>
    <x v="62"/>
    <x v="1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x v="0"/>
    <x v="8"/>
    <x v="1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x v="0"/>
    <x v="240"/>
    <x v="1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x v="0"/>
    <x v="84"/>
    <x v="1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x v="0"/>
    <x v="81"/>
    <x v="1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x v="0"/>
    <x v="162"/>
    <x v="1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x v="0"/>
    <x v="80"/>
    <x v="1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x v="0"/>
    <x v="60"/>
    <x v="1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x v="3108"/>
    <x v="0"/>
    <x v="84"/>
    <x v="1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x v="0"/>
    <x v="229"/>
    <x v="1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x v="0"/>
    <x v="29"/>
    <x v="1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x v="0"/>
    <x v="88"/>
    <x v="1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x v="0"/>
    <x v="82"/>
    <x v="1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x v="0"/>
    <x v="77"/>
    <x v="1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x v="0"/>
    <x v="78"/>
    <x v="1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x v="0"/>
    <x v="29"/>
    <x v="1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x v="0"/>
    <x v="73"/>
    <x v="1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x v="0"/>
    <x v="29"/>
    <x v="1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x v="0"/>
    <x v="84"/>
    <x v="1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x v="0"/>
    <x v="29"/>
    <x v="1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x v="0"/>
    <x v="73"/>
    <x v="1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x v="0"/>
    <x v="29"/>
    <x v="1"/>
    <s v="theater/spaces"/>
    <x v="60"/>
    <x v="119"/>
    <x v="1"/>
    <x v="38"/>
  </r>
  <r>
    <n v="3122"/>
    <s v="be back soon (Canceled)"/>
    <s v="cancelled until further notice"/>
    <n v="199"/>
    <n v="116"/>
    <x v="1"/>
    <x v="0"/>
    <x v="0"/>
    <n v="1478733732"/>
    <x v="3122"/>
    <x v="0"/>
    <x v="84"/>
    <x v="1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x v="0"/>
    <x v="493"/>
    <x v="1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x v="0"/>
    <x v="80"/>
    <x v="1"/>
    <s v="theater/spaces"/>
    <x v="50"/>
    <x v="516"/>
    <x v="1"/>
    <x v="38"/>
  </r>
  <r>
    <n v="3125"/>
    <s v="N/A (Canceled)"/>
    <s v="N/A"/>
    <n v="1500000"/>
    <n v="0"/>
    <x v="1"/>
    <x v="0"/>
    <x v="0"/>
    <n v="1452142672"/>
    <x v="3125"/>
    <x v="0"/>
    <x v="78"/>
    <x v="1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x v="0"/>
    <x v="57"/>
    <x v="1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x v="0"/>
    <x v="78"/>
    <x v="1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x v="0"/>
    <x v="27"/>
    <x v="1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x v="0"/>
    <x v="29"/>
    <x v="1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x v="0"/>
    <x v="80"/>
    <x v="1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x v="3131"/>
    <x v="0"/>
    <x v="8"/>
    <x v="1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x v="0"/>
    <x v="29"/>
    <x v="1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x v="0"/>
    <x v="38"/>
    <x v="1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x v="0"/>
    <x v="8"/>
    <x v="1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x v="0"/>
    <x v="63"/>
    <x v="1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x v="0"/>
    <x v="19"/>
    <x v="1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x v="0"/>
    <x v="29"/>
    <x v="1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x v="0"/>
    <x v="78"/>
    <x v="1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x v="0"/>
    <x v="79"/>
    <x v="1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x v="0"/>
    <x v="80"/>
    <x v="1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x v="0"/>
    <x v="22"/>
    <x v="1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x v="0"/>
    <x v="83"/>
    <x v="1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x v="0"/>
    <x v="78"/>
    <x v="1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x v="0"/>
    <x v="209"/>
    <x v="1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x v="0"/>
    <x v="78"/>
    <x v="1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x v="0"/>
    <x v="8"/>
    <x v="1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x v="1"/>
    <x v="496"/>
    <x v="0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x v="1"/>
    <x v="7"/>
    <x v="0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x v="1"/>
    <x v="20"/>
    <x v="0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x v="1"/>
    <x v="201"/>
    <x v="0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x v="1"/>
    <x v="69"/>
    <x v="0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x v="1"/>
    <x v="85"/>
    <x v="0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x v="1"/>
    <x v="198"/>
    <x v="0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x v="1"/>
    <x v="252"/>
    <x v="0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x v="1"/>
    <x v="177"/>
    <x v="0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x v="1"/>
    <x v="30"/>
    <x v="0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x v="0"/>
    <n v="1405746000"/>
    <x v="3157"/>
    <x v="1"/>
    <x v="14"/>
    <x v="0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x v="0"/>
    <n v="1374523752"/>
    <x v="3158"/>
    <x v="1"/>
    <x v="50"/>
    <x v="0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x v="1"/>
    <x v="47"/>
    <x v="0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x v="1"/>
    <x v="7"/>
    <x v="0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x v="1"/>
    <x v="142"/>
    <x v="0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x v="1"/>
    <x v="287"/>
    <x v="0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x v="1"/>
    <x v="250"/>
    <x v="0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x v="1"/>
    <x v="26"/>
    <x v="0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x v="1"/>
    <x v="64"/>
    <x v="0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x v="1"/>
    <x v="497"/>
    <x v="0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x v="1"/>
    <x v="165"/>
    <x v="0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x v="1"/>
    <x v="42"/>
    <x v="0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x v="3169"/>
    <x v="1"/>
    <x v="141"/>
    <x v="0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x v="1"/>
    <x v="26"/>
    <x v="0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x v="1"/>
    <x v="27"/>
    <x v="0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x v="1"/>
    <x v="60"/>
    <x v="0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x v="1"/>
    <x v="142"/>
    <x v="0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x v="1"/>
    <x v="23"/>
    <x v="0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x v="1"/>
    <x v="65"/>
    <x v="0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x v="1"/>
    <x v="165"/>
    <x v="0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x v="1"/>
    <x v="13"/>
    <x v="0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x v="1"/>
    <x v="76"/>
    <x v="0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x v="1"/>
    <x v="95"/>
    <x v="0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x v="1"/>
    <x v="43"/>
    <x v="0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x v="1"/>
    <x v="41"/>
    <x v="0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x v="1"/>
    <x v="299"/>
    <x v="0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x v="1"/>
    <x v="32"/>
    <x v="0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x v="1"/>
    <x v="67"/>
    <x v="0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x v="1"/>
    <x v="54"/>
    <x v="0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x v="1"/>
    <x v="16"/>
    <x v="0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x v="1"/>
    <x v="138"/>
    <x v="0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x v="0"/>
    <x v="82"/>
    <x v="1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x v="0"/>
    <x v="10"/>
    <x v="1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x v="0"/>
    <x v="78"/>
    <x v="1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x v="0"/>
    <x v="80"/>
    <x v="1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x v="0"/>
    <x v="22"/>
    <x v="1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x v="0"/>
    <x v="54"/>
    <x v="1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x v="0"/>
    <x v="78"/>
    <x v="1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x v="0"/>
    <x v="70"/>
    <x v="1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x v="0"/>
    <x v="79"/>
    <x v="1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x v="0"/>
    <x v="80"/>
    <x v="1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x v="0"/>
    <x v="83"/>
    <x v="1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x v="0"/>
    <x v="28"/>
    <x v="1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x v="0"/>
    <x v="29"/>
    <x v="1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x v="0"/>
    <x v="84"/>
    <x v="1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x v="0"/>
    <x v="20"/>
    <x v="1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x v="0"/>
    <x v="79"/>
    <x v="1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x v="0"/>
    <x v="78"/>
    <x v="1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x v="0"/>
    <x v="8"/>
    <x v="1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x v="0"/>
    <x v="78"/>
    <x v="1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x v="0"/>
    <x v="17"/>
    <x v="1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x v="1"/>
    <x v="141"/>
    <x v="0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x v="1"/>
    <x v="334"/>
    <x v="0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x v="1"/>
    <x v="65"/>
    <x v="0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x v="1"/>
    <x v="498"/>
    <x v="0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x v="1"/>
    <x v="225"/>
    <x v="0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x v="1"/>
    <x v="5"/>
    <x v="0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x v="1"/>
    <x v="248"/>
    <x v="0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x v="1"/>
    <x v="179"/>
    <x v="0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x v="1"/>
    <x v="2"/>
    <x v="0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x v="1"/>
    <x v="201"/>
    <x v="0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x v="1"/>
    <x v="192"/>
    <x v="0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x v="1"/>
    <x v="46"/>
    <x v="0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x v="0"/>
    <n v="1489352400"/>
    <x v="3220"/>
    <x v="1"/>
    <x v="211"/>
    <x v="0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x v="1"/>
    <x v="116"/>
    <x v="0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x v="1"/>
    <x v="87"/>
    <x v="0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x v="1"/>
    <x v="142"/>
    <x v="0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x v="1"/>
    <x v="499"/>
    <x v="0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x v="1"/>
    <x v="70"/>
    <x v="0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x v="1"/>
    <x v="64"/>
    <x v="0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x v="0"/>
    <x v="209"/>
    <x v="0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x v="1"/>
    <x v="77"/>
    <x v="0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x v="1"/>
    <x v="91"/>
    <x v="0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x v="1"/>
    <x v="77"/>
    <x v="0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x v="0"/>
    <x v="33"/>
    <x v="0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x v="1"/>
    <x v="55"/>
    <x v="0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x v="0"/>
    <x v="42"/>
    <x v="0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x v="0"/>
    <x v="248"/>
    <x v="0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x v="1"/>
    <x v="331"/>
    <x v="0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x v="0"/>
    <x v="238"/>
    <x v="0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x v="1"/>
    <x v="314"/>
    <x v="0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x v="1"/>
    <x v="1"/>
    <x v="0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x v="1"/>
    <x v="201"/>
    <x v="0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x v="0"/>
    <x v="69"/>
    <x v="0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x v="1"/>
    <x v="157"/>
    <x v="0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x v="1"/>
    <x v="275"/>
    <x v="0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x v="1"/>
    <x v="26"/>
    <x v="0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x v="0"/>
    <x v="50"/>
    <x v="0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x v="0"/>
    <x v="500"/>
    <x v="0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x v="1"/>
    <x v="189"/>
    <x v="0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x v="1"/>
    <x v="7"/>
    <x v="0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x v="1"/>
    <x v="452"/>
    <x v="0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x v="1"/>
    <x v="106"/>
    <x v="0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x v="1"/>
    <x v="496"/>
    <x v="0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x v="1"/>
    <x v="9"/>
    <x v="0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x v="1"/>
    <x v="133"/>
    <x v="0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x v="1"/>
    <x v="248"/>
    <x v="0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x v="1"/>
    <x v="153"/>
    <x v="0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x v="1"/>
    <x v="59"/>
    <x v="0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x v="1"/>
    <x v="282"/>
    <x v="0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x v="0"/>
    <x v="14"/>
    <x v="0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x v="1"/>
    <x v="11"/>
    <x v="0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x v="1"/>
    <x v="174"/>
    <x v="0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x v="1"/>
    <x v="196"/>
    <x v="0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x v="1"/>
    <x v="72"/>
    <x v="0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x v="1"/>
    <x v="179"/>
    <x v="0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x v="1"/>
    <x v="32"/>
    <x v="0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x v="1"/>
    <x v="72"/>
    <x v="0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x v="1"/>
    <x v="287"/>
    <x v="0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x v="1"/>
    <x v="430"/>
    <x v="0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x v="1"/>
    <x v="449"/>
    <x v="0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x v="1"/>
    <x v="288"/>
    <x v="0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x v="1"/>
    <x v="16"/>
    <x v="0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x v="1"/>
    <x v="209"/>
    <x v="0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x v="3271"/>
    <x v="1"/>
    <x v="13"/>
    <x v="0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x v="1"/>
    <x v="108"/>
    <x v="0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x v="1"/>
    <x v="64"/>
    <x v="0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x v="1"/>
    <x v="172"/>
    <x v="0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x v="1"/>
    <x v="8"/>
    <x v="0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x v="1"/>
    <x v="61"/>
    <x v="0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x v="1"/>
    <x v="61"/>
    <x v="0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x v="1"/>
    <x v="69"/>
    <x v="0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x v="0"/>
    <x v="287"/>
    <x v="0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x v="0"/>
    <x v="209"/>
    <x v="0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x v="0"/>
    <x v="5"/>
    <x v="0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x v="0"/>
    <x v="186"/>
    <x v="0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x v="0"/>
    <x v="5"/>
    <x v="0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x v="0"/>
    <x v="41"/>
    <x v="0"/>
    <s v="theater/plays"/>
    <x v="21"/>
    <x v="2268"/>
    <x v="1"/>
    <x v="6"/>
  </r>
  <r>
    <n v="3285"/>
    <s v="By Morning"/>
    <s v="A new play by Matthew Gasda"/>
    <n v="4999"/>
    <n v="5604"/>
    <x v="0"/>
    <x v="0"/>
    <x v="0"/>
    <n v="1488258000"/>
    <x v="3285"/>
    <x v="0"/>
    <x v="75"/>
    <x v="0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x v="0"/>
    <x v="259"/>
    <x v="0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x v="0"/>
    <x v="69"/>
    <x v="0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x v="0"/>
    <x v="447"/>
    <x v="0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x v="0"/>
    <x v="20"/>
    <x v="0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x v="0"/>
    <x v="250"/>
    <x v="0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x v="0"/>
    <x v="25"/>
    <x v="0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x v="0"/>
    <x v="41"/>
    <x v="0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x v="0"/>
    <x v="110"/>
    <x v="0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x v="0"/>
    <x v="54"/>
    <x v="0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x v="0"/>
    <x v="74"/>
    <x v="0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x v="0"/>
    <x v="5"/>
    <x v="0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x v="0"/>
    <x v="34"/>
    <x v="0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x v="0"/>
    <x v="250"/>
    <x v="0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x v="0"/>
    <x v="287"/>
    <x v="0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x v="0"/>
    <x v="106"/>
    <x v="0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x v="0"/>
    <x v="16"/>
    <x v="0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x v="3"/>
    <n v="1481099176"/>
    <x v="3302"/>
    <x v="0"/>
    <x v="133"/>
    <x v="0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x v="0"/>
    <x v="2"/>
    <x v="0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x v="0"/>
    <x v="489"/>
    <x v="0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x v="0"/>
    <x v="9"/>
    <x v="0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x v="0"/>
    <x v="241"/>
    <x v="0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x v="0"/>
    <x v="9"/>
    <x v="0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x v="0"/>
    <x v="7"/>
    <x v="0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x v="3309"/>
    <x v="0"/>
    <x v="162"/>
    <x v="0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x v="0"/>
    <x v="162"/>
    <x v="0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x v="0"/>
    <x v="43"/>
    <x v="0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x v="0"/>
    <x v="14"/>
    <x v="0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x v="0"/>
    <x v="60"/>
    <x v="0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x v="0"/>
    <x v="6"/>
    <x v="0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x v="0"/>
    <x v="30"/>
    <x v="0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x v="0"/>
    <x v="207"/>
    <x v="0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x v="0"/>
    <x v="59"/>
    <x v="0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x v="0"/>
    <x v="58"/>
    <x v="0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x v="0"/>
    <x v="38"/>
    <x v="0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x v="0"/>
    <x v="44"/>
    <x v="0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x v="0"/>
    <x v="41"/>
    <x v="0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x v="0"/>
    <x v="23"/>
    <x v="0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x v="0"/>
    <x v="72"/>
    <x v="0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x v="0"/>
    <x v="73"/>
    <x v="0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x v="0"/>
    <x v="41"/>
    <x v="0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x v="0"/>
    <x v="7"/>
    <x v="0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x v="0"/>
    <x v="51"/>
    <x v="0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x v="0"/>
    <x v="82"/>
    <x v="0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x v="0"/>
    <x v="55"/>
    <x v="0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x v="0"/>
    <x v="50"/>
    <x v="0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x v="0"/>
    <x v="71"/>
    <x v="0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x v="0"/>
    <x v="183"/>
    <x v="0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x v="0"/>
    <x v="112"/>
    <x v="0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x v="0"/>
    <x v="67"/>
    <x v="0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x v="0"/>
    <x v="287"/>
    <x v="0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x v="0"/>
    <x v="82"/>
    <x v="0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x v="0"/>
    <x v="69"/>
    <x v="0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x v="0"/>
    <x v="300"/>
    <x v="0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x v="0"/>
    <x v="5"/>
    <x v="0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x v="0"/>
    <x v="44"/>
    <x v="0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x v="0"/>
    <x v="33"/>
    <x v="0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x v="0"/>
    <x v="76"/>
    <x v="0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x v="0"/>
    <x v="23"/>
    <x v="0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x v="0"/>
    <x v="244"/>
    <x v="0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x v="0"/>
    <x v="62"/>
    <x v="0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x v="0"/>
    <x v="59"/>
    <x v="0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x v="0"/>
    <x v="19"/>
    <x v="0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x v="0"/>
    <x v="1"/>
    <x v="0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x v="0"/>
    <x v="25"/>
    <x v="0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x v="0"/>
    <x v="13"/>
    <x v="0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x v="0"/>
    <x v="241"/>
    <x v="0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x v="0"/>
    <x v="16"/>
    <x v="0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x v="0"/>
    <x v="34"/>
    <x v="0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x v="0"/>
    <x v="165"/>
    <x v="0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x v="0"/>
    <x v="41"/>
    <x v="0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x v="0"/>
    <x v="74"/>
    <x v="0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x v="0"/>
    <x v="64"/>
    <x v="0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x v="0"/>
    <x v="372"/>
    <x v="0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x v="0"/>
    <x v="23"/>
    <x v="0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x v="3360"/>
    <x v="0"/>
    <x v="250"/>
    <x v="0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x v="0"/>
    <x v="32"/>
    <x v="0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x v="0"/>
    <x v="9"/>
    <x v="0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x v="0"/>
    <x v="55"/>
    <x v="0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x v="0"/>
    <x v="250"/>
    <x v="0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x v="0"/>
    <x v="83"/>
    <x v="0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x v="0"/>
    <x v="59"/>
    <x v="0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x v="0"/>
    <x v="209"/>
    <x v="0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x v="0"/>
    <x v="23"/>
    <x v="0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x v="0"/>
    <x v="241"/>
    <x v="0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x v="0"/>
    <x v="55"/>
    <x v="0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x v="0"/>
    <x v="82"/>
    <x v="0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x v="0"/>
    <x v="74"/>
    <x v="0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x v="0"/>
    <x v="209"/>
    <x v="0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x v="0"/>
    <x v="47"/>
    <x v="0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x v="0"/>
    <x v="57"/>
    <x v="0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x v="0"/>
    <x v="10"/>
    <x v="0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x v="0"/>
    <x v="99"/>
    <x v="0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x v="0"/>
    <x v="64"/>
    <x v="0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x v="0"/>
    <x v="44"/>
    <x v="0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x v="0"/>
    <x v="33"/>
    <x v="0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x v="0"/>
    <x v="53"/>
    <x v="0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x v="0"/>
    <x v="67"/>
    <x v="0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x v="0"/>
    <x v="209"/>
    <x v="0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x v="0"/>
    <x v="31"/>
    <x v="0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x v="0"/>
    <x v="41"/>
    <x v="0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x v="0"/>
    <x v="14"/>
    <x v="0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x v="0"/>
    <x v="2"/>
    <x v="0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x v="0"/>
    <x v="43"/>
    <x v="0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x v="0"/>
    <x v="95"/>
    <x v="0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x v="0"/>
    <x v="19"/>
    <x v="0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x v="0"/>
    <x v="59"/>
    <x v="0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x v="0"/>
    <x v="8"/>
    <x v="0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x v="0"/>
    <x v="34"/>
    <x v="0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x v="0"/>
    <x v="74"/>
    <x v="0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x v="3395"/>
    <x v="0"/>
    <x v="44"/>
    <x v="0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x v="0"/>
    <x v="33"/>
    <x v="0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x v="0"/>
    <x v="54"/>
    <x v="0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x v="0"/>
    <x v="71"/>
    <x v="0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x v="0"/>
    <x v="67"/>
    <x v="0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x v="0"/>
    <x v="268"/>
    <x v="0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x v="0"/>
    <x v="36"/>
    <x v="0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x v="0"/>
    <x v="111"/>
    <x v="0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x v="0"/>
    <x v="57"/>
    <x v="0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x v="0"/>
    <x v="83"/>
    <x v="0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x v="0"/>
    <x v="57"/>
    <x v="0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x v="0"/>
    <x v="110"/>
    <x v="0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x v="0"/>
    <x v="85"/>
    <x v="0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x v="0"/>
    <x v="59"/>
    <x v="0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x v="0"/>
    <x v="64"/>
    <x v="0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x v="0"/>
    <x v="244"/>
    <x v="0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x v="0"/>
    <x v="76"/>
    <x v="0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x v="0"/>
    <x v="55"/>
    <x v="0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x v="0"/>
    <x v="25"/>
    <x v="0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x v="0"/>
    <x v="34"/>
    <x v="0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x v="0"/>
    <x v="82"/>
    <x v="0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x v="0"/>
    <x v="209"/>
    <x v="0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x v="0"/>
    <x v="43"/>
    <x v="0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x v="0"/>
    <x v="66"/>
    <x v="0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x v="0"/>
    <x v="67"/>
    <x v="0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x v="0"/>
    <x v="69"/>
    <x v="0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x v="0"/>
    <x v="15"/>
    <x v="0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x v="0"/>
    <x v="67"/>
    <x v="0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x v="0"/>
    <x v="73"/>
    <x v="0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x v="0"/>
    <x v="88"/>
    <x v="0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x v="0"/>
    <x v="201"/>
    <x v="0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x v="0"/>
    <x v="45"/>
    <x v="0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x v="0"/>
    <x v="60"/>
    <x v="0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x v="0"/>
    <x v="13"/>
    <x v="0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x v="0"/>
    <x v="8"/>
    <x v="0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x v="0"/>
    <x v="250"/>
    <x v="0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x v="0"/>
    <x v="64"/>
    <x v="0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x v="0"/>
    <x v="288"/>
    <x v="0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x v="0"/>
    <x v="26"/>
    <x v="0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x v="0"/>
    <x v="129"/>
    <x v="0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x v="0"/>
    <x v="10"/>
    <x v="0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x v="0"/>
    <x v="77"/>
    <x v="0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x v="0"/>
    <x v="17"/>
    <x v="0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x v="0"/>
    <x v="25"/>
    <x v="0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x v="0"/>
    <x v="59"/>
    <x v="0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x v="0"/>
    <x v="141"/>
    <x v="0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x v="0"/>
    <x v="68"/>
    <x v="0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x v="0"/>
    <x v="22"/>
    <x v="0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x v="0"/>
    <x v="43"/>
    <x v="0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x v="0"/>
    <x v="9"/>
    <x v="0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x v="0"/>
    <x v="162"/>
    <x v="0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x v="0"/>
    <x v="20"/>
    <x v="0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x v="0"/>
    <x v="25"/>
    <x v="0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x v="0"/>
    <x v="43"/>
    <x v="0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x v="0"/>
    <x v="9"/>
    <x v="0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x v="0"/>
    <x v="70"/>
    <x v="0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x v="0"/>
    <x v="38"/>
    <x v="0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x v="0"/>
    <x v="77"/>
    <x v="0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x v="0"/>
    <x v="25"/>
    <x v="0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x v="0"/>
    <x v="64"/>
    <x v="0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x v="0"/>
    <x v="50"/>
    <x v="0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x v="0"/>
    <x v="38"/>
    <x v="0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x v="0"/>
    <x v="165"/>
    <x v="0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x v="0"/>
    <x v="74"/>
    <x v="0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x v="0"/>
    <x v="17"/>
    <x v="0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x v="0"/>
    <x v="10"/>
    <x v="0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x v="0"/>
    <x v="8"/>
    <x v="0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x v="0"/>
    <x v="57"/>
    <x v="0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x v="0"/>
    <x v="229"/>
    <x v="0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x v="0"/>
    <x v="251"/>
    <x v="0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x v="0"/>
    <x v="17"/>
    <x v="0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x v="0"/>
    <x v="42"/>
    <x v="0"/>
    <s v="theater/plays"/>
    <x v="37"/>
    <x v="2407"/>
    <x v="1"/>
    <x v="6"/>
  </r>
  <r>
    <n v="3467"/>
    <s v="Venus in Fur, Los Angeles."/>
    <s v="Venus in Fur, By David Ives."/>
    <n v="3000"/>
    <n v="3030"/>
    <x v="0"/>
    <x v="0"/>
    <x v="0"/>
    <n v="1426864032"/>
    <x v="3467"/>
    <x v="0"/>
    <x v="5"/>
    <x v="0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x v="0"/>
    <x v="57"/>
    <x v="0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x v="0"/>
    <x v="287"/>
    <x v="0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x v="0"/>
    <x v="82"/>
    <x v="0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x v="0"/>
    <x v="209"/>
    <x v="0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x v="0"/>
    <x v="23"/>
    <x v="0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x v="0"/>
    <x v="51"/>
    <x v="0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x v="0"/>
    <x v="70"/>
    <x v="0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x v="0"/>
    <x v="57"/>
    <x v="0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x v="0"/>
    <x v="79"/>
    <x v="0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x v="0"/>
    <x v="70"/>
    <x v="0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x v="0"/>
    <x v="7"/>
    <x v="0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x v="0"/>
    <x v="66"/>
    <x v="0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x v="0"/>
    <x v="62"/>
    <x v="0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x v="0"/>
    <x v="195"/>
    <x v="0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x v="0"/>
    <x v="144"/>
    <x v="0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x v="0"/>
    <x v="182"/>
    <x v="0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x v="0"/>
    <x v="34"/>
    <x v="0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x v="0"/>
    <x v="209"/>
    <x v="0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x v="0"/>
    <x v="66"/>
    <x v="0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x v="0"/>
    <x v="36"/>
    <x v="0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x v="0"/>
    <x v="60"/>
    <x v="0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x v="0"/>
    <x v="250"/>
    <x v="0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x v="0"/>
    <x v="74"/>
    <x v="0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x v="0"/>
    <x v="73"/>
    <x v="0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x v="0"/>
    <x v="2"/>
    <x v="0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x v="0"/>
    <x v="60"/>
    <x v="0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x v="0"/>
    <x v="62"/>
    <x v="0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x v="0"/>
    <x v="250"/>
    <x v="0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x v="0"/>
    <x v="76"/>
    <x v="0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x v="0"/>
    <x v="72"/>
    <x v="0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x v="0"/>
    <x v="288"/>
    <x v="0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x v="0"/>
    <x v="2"/>
    <x v="0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x v="0"/>
    <x v="288"/>
    <x v="0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x v="0"/>
    <x v="288"/>
    <x v="0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x v="0"/>
    <x v="162"/>
    <x v="0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x v="0"/>
    <x v="44"/>
    <x v="0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x v="0"/>
    <x v="22"/>
    <x v="0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x v="0"/>
    <x v="70"/>
    <x v="0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x v="0"/>
    <x v="60"/>
    <x v="0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x v="0"/>
    <x v="250"/>
    <x v="0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x v="0"/>
    <x v="41"/>
    <x v="0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x v="0"/>
    <x v="51"/>
    <x v="0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x v="0"/>
    <x v="41"/>
    <x v="0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x v="0"/>
    <x v="10"/>
    <x v="0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x v="0"/>
    <x v="57"/>
    <x v="0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x v="0"/>
    <x v="34"/>
    <x v="0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x v="0"/>
    <x v="73"/>
    <x v="0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x v="0"/>
    <x v="67"/>
    <x v="0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x v="0"/>
    <x v="202"/>
    <x v="0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x v="0"/>
    <x v="62"/>
    <x v="0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x v="0"/>
    <x v="51"/>
    <x v="0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x v="0"/>
    <x v="33"/>
    <x v="0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x v="0"/>
    <x v="64"/>
    <x v="0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x v="0"/>
    <x v="62"/>
    <x v="0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x v="0"/>
    <x v="69"/>
    <x v="0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x v="0"/>
    <x v="144"/>
    <x v="0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x v="0"/>
    <x v="142"/>
    <x v="0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x v="0"/>
    <x v="63"/>
    <x v="0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x v="0"/>
    <x v="69"/>
    <x v="0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x v="0"/>
    <x v="48"/>
    <x v="0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x v="0"/>
    <x v="77"/>
    <x v="0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x v="0"/>
    <x v="59"/>
    <x v="0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x v="0"/>
    <x v="19"/>
    <x v="0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x v="0"/>
    <n v="1467301334"/>
    <x v="3531"/>
    <x v="0"/>
    <x v="55"/>
    <x v="0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x v="0"/>
    <x v="74"/>
    <x v="0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x v="0"/>
    <x v="22"/>
    <x v="0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x v="0"/>
    <x v="386"/>
    <x v="0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x v="0"/>
    <x v="67"/>
    <x v="0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x v="0"/>
    <x v="57"/>
    <x v="0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x v="0"/>
    <x v="33"/>
    <x v="0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x v="0"/>
    <x v="183"/>
    <x v="0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x v="0"/>
    <x v="62"/>
    <x v="0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x v="0"/>
    <x v="22"/>
    <x v="0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x v="0"/>
    <x v="58"/>
    <x v="0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x v="0"/>
    <x v="268"/>
    <x v="0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x v="0"/>
    <x v="60"/>
    <x v="0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x v="0"/>
    <x v="54"/>
    <x v="0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x v="0"/>
    <x v="22"/>
    <x v="0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x v="0"/>
    <x v="10"/>
    <x v="0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x v="0"/>
    <x v="226"/>
    <x v="0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x v="0"/>
    <x v="62"/>
    <x v="0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x v="0"/>
    <x v="288"/>
    <x v="0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x v="0"/>
    <x v="31"/>
    <x v="0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x v="0"/>
    <x v="20"/>
    <x v="0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x v="0"/>
    <x v="9"/>
    <x v="0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x v="0"/>
    <x v="201"/>
    <x v="0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x v="0"/>
    <x v="28"/>
    <x v="0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x v="0"/>
    <x v="25"/>
    <x v="0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x v="0"/>
    <x v="9"/>
    <x v="0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x v="0"/>
    <x v="501"/>
    <x v="0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x v="0"/>
    <x v="19"/>
    <x v="0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x v="0"/>
    <x v="54"/>
    <x v="0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x v="0"/>
    <x v="142"/>
    <x v="0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x v="0"/>
    <x v="241"/>
    <x v="0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x v="0"/>
    <x v="162"/>
    <x v="0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x v="0"/>
    <x v="20"/>
    <x v="0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x v="0"/>
    <x v="57"/>
    <x v="0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x v="0"/>
    <x v="8"/>
    <x v="0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x v="0"/>
    <x v="44"/>
    <x v="0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x v="0"/>
    <x v="14"/>
    <x v="0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x v="0"/>
    <x v="10"/>
    <x v="0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x v="0"/>
    <x v="14"/>
    <x v="0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x v="0"/>
    <x v="55"/>
    <x v="0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x v="0"/>
    <x v="20"/>
    <x v="0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x v="3572"/>
    <x v="0"/>
    <x v="82"/>
    <x v="0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x v="0"/>
    <x v="76"/>
    <x v="0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x v="0"/>
    <x v="43"/>
    <x v="0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x v="0"/>
    <x v="332"/>
    <x v="0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x v="0"/>
    <x v="81"/>
    <x v="0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x v="0"/>
    <x v="74"/>
    <x v="0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x v="0"/>
    <x v="77"/>
    <x v="0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x v="0"/>
    <x v="25"/>
    <x v="0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x v="0"/>
    <x v="74"/>
    <x v="0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x v="0"/>
    <x v="43"/>
    <x v="0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x v="0"/>
    <x v="72"/>
    <x v="0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x v="0"/>
    <x v="54"/>
    <x v="0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x v="0"/>
    <x v="300"/>
    <x v="0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x v="0"/>
    <x v="23"/>
    <x v="0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x v="0"/>
    <n v="1474649070"/>
    <x v="3586"/>
    <x v="0"/>
    <x v="241"/>
    <x v="0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x v="0"/>
    <x v="33"/>
    <x v="0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x v="0"/>
    <x v="202"/>
    <x v="0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x v="0"/>
    <x v="95"/>
    <x v="0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x v="0"/>
    <x v="196"/>
    <x v="0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x v="0"/>
    <x v="59"/>
    <x v="0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x v="0"/>
    <x v="2"/>
    <x v="0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x v="0"/>
    <x v="68"/>
    <x v="0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x v="0"/>
    <x v="17"/>
    <x v="0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x v="3595"/>
    <x v="0"/>
    <x v="95"/>
    <x v="0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x v="0"/>
    <x v="41"/>
    <x v="0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x v="0"/>
    <x v="51"/>
    <x v="0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x v="0"/>
    <x v="74"/>
    <x v="0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x v="0"/>
    <x v="57"/>
    <x v="0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x v="0"/>
    <n v="1476390164"/>
    <x v="3600"/>
    <x v="0"/>
    <x v="80"/>
    <x v="0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x v="0"/>
    <x v="28"/>
    <x v="0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x v="0"/>
    <x v="72"/>
    <x v="0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x v="0"/>
    <x v="7"/>
    <x v="0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x v="0"/>
    <x v="50"/>
    <x v="0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x v="0"/>
    <x v="41"/>
    <x v="0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x v="0"/>
    <x v="31"/>
    <x v="0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x v="0"/>
    <x v="9"/>
    <x v="0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x v="0"/>
    <x v="74"/>
    <x v="0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x v="0"/>
    <x v="64"/>
    <x v="0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x v="0"/>
    <x v="162"/>
    <x v="0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x v="0"/>
    <x v="13"/>
    <x v="0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x v="0"/>
    <x v="7"/>
    <x v="0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x v="0"/>
    <x v="9"/>
    <x v="0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x v="0"/>
    <x v="26"/>
    <x v="0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x v="0"/>
    <x v="250"/>
    <x v="0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x v="0"/>
    <x v="43"/>
    <x v="0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x v="0"/>
    <x v="13"/>
    <x v="0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x v="0"/>
    <x v="66"/>
    <x v="0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x v="0"/>
    <x v="57"/>
    <x v="0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x v="0"/>
    <x v="438"/>
    <x v="0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x v="0"/>
    <x v="16"/>
    <x v="0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x v="0"/>
    <x v="64"/>
    <x v="0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x v="0"/>
    <x v="69"/>
    <x v="0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x v="0"/>
    <x v="70"/>
    <x v="0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x v="0"/>
    <x v="76"/>
    <x v="0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x v="0"/>
    <x v="53"/>
    <x v="0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x v="0"/>
    <x v="60"/>
    <x v="0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x v="0"/>
    <x v="78"/>
    <x v="1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x v="0"/>
    <x v="84"/>
    <x v="1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x v="0"/>
    <x v="29"/>
    <x v="1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x v="0"/>
    <x v="211"/>
    <x v="1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x v="0"/>
    <x v="29"/>
    <x v="1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x v="0"/>
    <x v="162"/>
    <x v="1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x v="0"/>
    <x v="59"/>
    <x v="1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x v="3635"/>
    <x v="0"/>
    <x v="73"/>
    <x v="1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x v="0"/>
    <x v="78"/>
    <x v="1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x v="0"/>
    <x v="25"/>
    <x v="1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x v="0"/>
    <x v="84"/>
    <x v="1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x v="0"/>
    <x v="29"/>
    <x v="1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x v="0"/>
    <x v="83"/>
    <x v="1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x v="0"/>
    <x v="78"/>
    <x v="1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x v="0"/>
    <x v="84"/>
    <x v="1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x v="0"/>
    <x v="78"/>
    <x v="1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x v="0"/>
    <x v="8"/>
    <x v="1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x v="0"/>
    <x v="29"/>
    <x v="1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x v="0"/>
    <x v="22"/>
    <x v="1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x v="0"/>
    <x v="84"/>
    <x v="1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x v="0"/>
    <x v="196"/>
    <x v="0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x v="0"/>
    <x v="22"/>
    <x v="0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x v="0"/>
    <x v="57"/>
    <x v="0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x v="0"/>
    <x v="82"/>
    <x v="0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x v="0"/>
    <x v="57"/>
    <x v="0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x v="0"/>
    <x v="51"/>
    <x v="0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x v="0"/>
    <x v="44"/>
    <x v="0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x v="0"/>
    <x v="1"/>
    <x v="0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x v="0"/>
    <x v="67"/>
    <x v="0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x v="0"/>
    <x v="9"/>
    <x v="0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x v="3658"/>
    <x v="0"/>
    <x v="9"/>
    <x v="0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x v="0"/>
    <x v="62"/>
    <x v="0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x v="0"/>
    <x v="19"/>
    <x v="0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x v="0"/>
    <x v="17"/>
    <x v="0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x v="0"/>
    <x v="244"/>
    <x v="0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x v="0"/>
    <x v="82"/>
    <x v="0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x v="0"/>
    <x v="10"/>
    <x v="0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x v="0"/>
    <x v="25"/>
    <x v="0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x v="0"/>
    <x v="44"/>
    <x v="0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x v="0"/>
    <x v="6"/>
    <x v="0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x v="0"/>
    <x v="33"/>
    <x v="0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x v="0"/>
    <x v="57"/>
    <x v="0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x v="0"/>
    <x v="8"/>
    <x v="0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x v="0"/>
    <x v="244"/>
    <x v="0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x v="0"/>
    <x v="7"/>
    <x v="0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x v="0"/>
    <x v="229"/>
    <x v="0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x v="0"/>
    <x v="162"/>
    <x v="0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x v="0"/>
    <x v="83"/>
    <x v="0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x v="0"/>
    <x v="38"/>
    <x v="0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x v="0"/>
    <x v="473"/>
    <x v="0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x v="0"/>
    <x v="162"/>
    <x v="0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x v="0"/>
    <x v="209"/>
    <x v="0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x v="0"/>
    <x v="69"/>
    <x v="0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x v="0"/>
    <x v="59"/>
    <x v="0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x v="0"/>
    <x v="85"/>
    <x v="0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x v="0"/>
    <x v="36"/>
    <x v="0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x v="0"/>
    <x v="23"/>
    <x v="0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x v="0"/>
    <x v="149"/>
    <x v="0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x v="0"/>
    <x v="79"/>
    <x v="0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x v="0"/>
    <x v="20"/>
    <x v="0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x v="0"/>
    <x v="70"/>
    <x v="0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x v="0"/>
    <x v="95"/>
    <x v="0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x v="0"/>
    <x v="162"/>
    <x v="0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x v="0"/>
    <x v="220"/>
    <x v="0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x v="0"/>
    <x v="57"/>
    <x v="0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x v="0"/>
    <x v="25"/>
    <x v="0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x v="0"/>
    <x v="65"/>
    <x v="0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x v="0"/>
    <x v="51"/>
    <x v="0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x v="0"/>
    <x v="76"/>
    <x v="0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x v="0"/>
    <x v="209"/>
    <x v="0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x v="0"/>
    <x v="327"/>
    <x v="0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x v="0"/>
    <x v="244"/>
    <x v="0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x v="3700"/>
    <x v="0"/>
    <x v="59"/>
    <x v="0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x v="0"/>
    <x v="70"/>
    <x v="0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x v="0"/>
    <x v="64"/>
    <x v="0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x v="0"/>
    <x v="209"/>
    <x v="0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x v="0"/>
    <x v="74"/>
    <x v="0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x v="0"/>
    <x v="2"/>
    <x v="0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x v="0"/>
    <x v="62"/>
    <x v="0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x v="0"/>
    <x v="23"/>
    <x v="0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x v="0"/>
    <x v="70"/>
    <x v="0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x v="0"/>
    <x v="2"/>
    <x v="0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x v="0"/>
    <x v="74"/>
    <x v="0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x v="0"/>
    <x v="64"/>
    <x v="0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x v="0"/>
    <x v="201"/>
    <x v="0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x v="0"/>
    <x v="10"/>
    <x v="0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x v="0"/>
    <x v="174"/>
    <x v="0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x v="0"/>
    <x v="74"/>
    <x v="0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x v="0"/>
    <x v="54"/>
    <x v="0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x v="0"/>
    <x v="62"/>
    <x v="0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x v="0"/>
    <x v="67"/>
    <x v="0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x v="1"/>
    <n v="1434994266"/>
    <x v="3719"/>
    <x v="0"/>
    <x v="80"/>
    <x v="0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x v="0"/>
    <x v="244"/>
    <x v="0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x v="0"/>
    <x v="34"/>
    <x v="0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x v="0"/>
    <x v="2"/>
    <x v="0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x v="1"/>
    <n v="1417374262"/>
    <x v="3723"/>
    <x v="0"/>
    <x v="287"/>
    <x v="0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x v="0"/>
    <x v="30"/>
    <x v="0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x v="0"/>
    <x v="41"/>
    <x v="0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x v="0"/>
    <x v="67"/>
    <x v="0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x v="0"/>
    <x v="51"/>
    <x v="0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x v="0"/>
    <x v="162"/>
    <x v="1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x v="0"/>
    <x v="81"/>
    <x v="1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x v="0"/>
    <x v="29"/>
    <x v="1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x v="0"/>
    <x v="8"/>
    <x v="1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x v="0"/>
    <x v="80"/>
    <x v="1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x v="0"/>
    <x v="78"/>
    <x v="1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x v="0"/>
    <x v="63"/>
    <x v="1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x v="0"/>
    <x v="84"/>
    <x v="1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x v="0"/>
    <x v="29"/>
    <x v="1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x v="0"/>
    <x v="80"/>
    <x v="1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x v="0"/>
    <x v="79"/>
    <x v="1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x v="0"/>
    <x v="22"/>
    <x v="1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x v="0"/>
    <x v="25"/>
    <x v="1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x v="0"/>
    <x v="78"/>
    <x v="1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x v="0"/>
    <x v="80"/>
    <x v="1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x v="0"/>
    <x v="78"/>
    <x v="1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x v="0"/>
    <x v="78"/>
    <x v="1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x v="0"/>
    <x v="29"/>
    <x v="1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x v="0"/>
    <x v="29"/>
    <x v="1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x v="0"/>
    <x v="29"/>
    <x v="1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x v="0"/>
    <x v="47"/>
    <x v="0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x v="0"/>
    <x v="63"/>
    <x v="0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x v="0"/>
    <x v="33"/>
    <x v="0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x v="0"/>
    <x v="202"/>
    <x v="0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x v="0"/>
    <x v="41"/>
    <x v="0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x v="0"/>
    <x v="209"/>
    <x v="0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x v="0"/>
    <x v="74"/>
    <x v="0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x v="0"/>
    <x v="33"/>
    <x v="0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x v="0"/>
    <x v="57"/>
    <x v="0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x v="0"/>
    <x v="133"/>
    <x v="0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x v="0"/>
    <n v="1400475600"/>
    <x v="3758"/>
    <x v="0"/>
    <x v="55"/>
    <x v="0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x v="0"/>
    <x v="106"/>
    <x v="0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x v="0"/>
    <x v="110"/>
    <x v="0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x v="0"/>
    <x v="83"/>
    <x v="0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x v="0"/>
    <x v="33"/>
    <x v="0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x v="0"/>
    <x v="99"/>
    <x v="0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x v="0"/>
    <x v="74"/>
    <x v="0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x v="0"/>
    <x v="329"/>
    <x v="0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x v="0"/>
    <x v="93"/>
    <x v="0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x v="0"/>
    <x v="66"/>
    <x v="0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x v="0"/>
    <x v="6"/>
    <x v="0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x v="0"/>
    <x v="41"/>
    <x v="0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x v="0"/>
    <x v="9"/>
    <x v="0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x v="0"/>
    <x v="44"/>
    <x v="0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x v="0"/>
    <x v="51"/>
    <x v="0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x v="0"/>
    <x v="7"/>
    <x v="0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x v="0"/>
    <x v="20"/>
    <x v="0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x v="0"/>
    <x v="25"/>
    <x v="0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x v="0"/>
    <x v="225"/>
    <x v="0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x v="0"/>
    <x v="211"/>
    <x v="0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x v="0"/>
    <x v="17"/>
    <x v="0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x v="0"/>
    <x v="248"/>
    <x v="0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x v="0"/>
    <x v="209"/>
    <x v="0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x v="0"/>
    <x v="47"/>
    <x v="0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x v="0"/>
    <x v="74"/>
    <x v="0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x v="0"/>
    <x v="54"/>
    <x v="0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x v="0"/>
    <x v="73"/>
    <x v="0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x v="0"/>
    <x v="209"/>
    <x v="0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x v="0"/>
    <x v="26"/>
    <x v="0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x v="0"/>
    <x v="73"/>
    <x v="0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x v="0"/>
    <x v="29"/>
    <x v="1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x v="0"/>
    <x v="80"/>
    <x v="1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x v="0"/>
    <x v="78"/>
    <x v="1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x v="0"/>
    <x v="78"/>
    <x v="1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x v="0"/>
    <x v="84"/>
    <x v="1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x v="0"/>
    <x v="54"/>
    <x v="1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x v="0"/>
    <x v="29"/>
    <x v="1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x v="0"/>
    <x v="84"/>
    <x v="1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x v="0"/>
    <x v="29"/>
    <x v="1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x v="0"/>
    <x v="77"/>
    <x v="1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x v="0"/>
    <x v="81"/>
    <x v="1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x v="0"/>
    <x v="80"/>
    <x v="1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x v="0"/>
    <x v="38"/>
    <x v="1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x v="0"/>
    <x v="82"/>
    <x v="1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x v="0"/>
    <x v="78"/>
    <x v="1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x v="0"/>
    <x v="244"/>
    <x v="1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x v="0"/>
    <x v="78"/>
    <x v="1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x v="0"/>
    <x v="84"/>
    <x v="1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x v="0"/>
    <x v="29"/>
    <x v="1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x v="0"/>
    <x v="82"/>
    <x v="1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x v="0"/>
    <x v="54"/>
    <x v="0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x v="0"/>
    <x v="44"/>
    <x v="0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x v="0"/>
    <x v="55"/>
    <x v="0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x v="0"/>
    <x v="10"/>
    <x v="0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x v="0"/>
    <x v="202"/>
    <x v="0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x v="0"/>
    <x v="74"/>
    <x v="0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x v="0"/>
    <x v="69"/>
    <x v="0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x v="0"/>
    <x v="9"/>
    <x v="0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x v="0"/>
    <x v="77"/>
    <x v="0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x v="0"/>
    <x v="9"/>
    <x v="0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x v="0"/>
    <x v="73"/>
    <x v="0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x v="0"/>
    <x v="55"/>
    <x v="0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x v="0"/>
    <x v="9"/>
    <x v="0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x v="0"/>
    <x v="67"/>
    <x v="0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x v="0"/>
    <x v="88"/>
    <x v="0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x v="0"/>
    <x v="14"/>
    <x v="0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x v="0"/>
    <x v="63"/>
    <x v="0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x v="0"/>
    <x v="72"/>
    <x v="0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x v="0"/>
    <x v="55"/>
    <x v="0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x v="0"/>
    <x v="71"/>
    <x v="0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x v="0"/>
    <x v="33"/>
    <x v="0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x v="0"/>
    <x v="22"/>
    <x v="0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x v="0"/>
    <x v="83"/>
    <x v="0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x v="0"/>
    <x v="82"/>
    <x v="0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x v="0"/>
    <x v="82"/>
    <x v="0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x v="0"/>
    <x v="9"/>
    <x v="0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x v="0"/>
    <x v="7"/>
    <x v="0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x v="0"/>
    <x v="22"/>
    <x v="0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x v="0"/>
    <x v="25"/>
    <x v="0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x v="0"/>
    <x v="57"/>
    <x v="0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x v="0"/>
    <x v="61"/>
    <x v="0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x v="0"/>
    <x v="58"/>
    <x v="0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x v="0"/>
    <x v="83"/>
    <x v="0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x v="1"/>
    <x v="69"/>
    <x v="1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x v="1"/>
    <x v="23"/>
    <x v="1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x v="1"/>
    <x v="10"/>
    <x v="1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x v="1"/>
    <x v="133"/>
    <x v="1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x v="1"/>
    <x v="8"/>
    <x v="1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x v="1"/>
    <x v="22"/>
    <x v="1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x v="1"/>
    <x v="82"/>
    <x v="1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x v="1"/>
    <x v="68"/>
    <x v="1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x v="1"/>
    <x v="33"/>
    <x v="1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x v="1"/>
    <x v="80"/>
    <x v="1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x v="1"/>
    <x v="54"/>
    <x v="1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x v="0"/>
    <x v="84"/>
    <x v="1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x v="0"/>
    <x v="84"/>
    <x v="1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x v="0"/>
    <x v="9"/>
    <x v="1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x v="0"/>
    <x v="29"/>
    <x v="1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x v="0"/>
    <x v="29"/>
    <x v="1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x v="0"/>
    <x v="80"/>
    <x v="1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x v="0"/>
    <x v="29"/>
    <x v="1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x v="0"/>
    <x v="29"/>
    <x v="1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x v="0"/>
    <x v="62"/>
    <x v="1"/>
    <s v="theater/plays"/>
    <x v="82"/>
    <x v="2656"/>
    <x v="1"/>
    <x v="6"/>
  </r>
  <r>
    <n v="3861"/>
    <s v="READY OR NOT HERE I COME"/>
    <s v="THE COMING OF THE LORD!"/>
    <n v="2000"/>
    <n v="100"/>
    <x v="2"/>
    <x v="0"/>
    <x v="0"/>
    <n v="1415828820"/>
    <x v="3861"/>
    <x v="0"/>
    <x v="29"/>
    <x v="1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x v="3862"/>
    <x v="0"/>
    <x v="29"/>
    <x v="1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x v="0"/>
    <x v="78"/>
    <x v="1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x v="0"/>
    <x v="83"/>
    <x v="1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x v="0"/>
    <x v="25"/>
    <x v="1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x v="0"/>
    <x v="84"/>
    <x v="1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x v="0"/>
    <x v="81"/>
    <x v="1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x v="1"/>
    <n v="1410191405"/>
    <x v="3868"/>
    <x v="0"/>
    <x v="29"/>
    <x v="1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x v="0"/>
    <x v="41"/>
    <x v="1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x v="0"/>
    <x v="73"/>
    <x v="1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x v="0"/>
    <x v="83"/>
    <x v="1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x v="0"/>
    <x v="78"/>
    <x v="1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x v="0"/>
    <x v="78"/>
    <x v="1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x v="0"/>
    <x v="78"/>
    <x v="1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x v="0"/>
    <x v="78"/>
    <x v="1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x v="0"/>
    <x v="67"/>
    <x v="1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x v="0"/>
    <x v="25"/>
    <x v="1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x v="0"/>
    <x v="29"/>
    <x v="1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x v="0"/>
    <x v="78"/>
    <x v="1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x v="0"/>
    <x v="57"/>
    <x v="1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x v="0"/>
    <x v="29"/>
    <x v="1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x v="0"/>
    <x v="78"/>
    <x v="1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x v="0"/>
    <x v="78"/>
    <x v="1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x v="0"/>
    <x v="78"/>
    <x v="1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x v="0"/>
    <x v="78"/>
    <x v="1"/>
    <s v="theater/musical"/>
    <x v="50"/>
    <x v="121"/>
    <x v="1"/>
    <x v="40"/>
  </r>
  <r>
    <n v="3886"/>
    <s v="a (Canceled)"/>
    <n v="1"/>
    <n v="10000"/>
    <n v="0"/>
    <x v="1"/>
    <x v="2"/>
    <x v="2"/>
    <n v="1418275702"/>
    <x v="3886"/>
    <x v="0"/>
    <x v="78"/>
    <x v="1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x v="0"/>
    <x v="84"/>
    <x v="1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x v="0"/>
    <x v="25"/>
    <x v="1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x v="0"/>
    <x v="82"/>
    <x v="1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x v="0"/>
    <x v="22"/>
    <x v="1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x v="0"/>
    <x v="63"/>
    <x v="1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x v="0"/>
    <x v="78"/>
    <x v="1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x v="0"/>
    <x v="87"/>
    <x v="1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x v="0"/>
    <x v="202"/>
    <x v="1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x v="0"/>
    <x v="29"/>
    <x v="1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x v="0"/>
    <x v="80"/>
    <x v="1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x v="0"/>
    <x v="73"/>
    <x v="1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x v="0"/>
    <x v="38"/>
    <x v="1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x v="0"/>
    <x v="84"/>
    <x v="1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x v="0"/>
    <x v="81"/>
    <x v="1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x v="0"/>
    <x v="29"/>
    <x v="1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x v="0"/>
    <x v="162"/>
    <x v="1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x v="0"/>
    <x v="78"/>
    <x v="1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x v="3904"/>
    <x v="0"/>
    <x v="84"/>
    <x v="1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x v="0"/>
    <x v="63"/>
    <x v="1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x v="0"/>
    <x v="38"/>
    <x v="1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x v="0"/>
    <x v="80"/>
    <x v="1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x v="0"/>
    <x v="80"/>
    <x v="1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x v="0"/>
    <x v="80"/>
    <x v="1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x v="0"/>
    <x v="83"/>
    <x v="1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x v="0"/>
    <x v="17"/>
    <x v="1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x v="0"/>
    <x v="29"/>
    <x v="1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x v="0"/>
    <x v="63"/>
    <x v="1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x v="0"/>
    <x v="74"/>
    <x v="1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x v="0"/>
    <x v="29"/>
    <x v="1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x v="0"/>
    <x v="78"/>
    <x v="1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x v="0"/>
    <x v="29"/>
    <x v="1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x v="0"/>
    <x v="83"/>
    <x v="1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x v="0"/>
    <x v="83"/>
    <x v="1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x v="0"/>
    <x v="83"/>
    <x v="1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x v="0"/>
    <x v="78"/>
    <x v="1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x v="0"/>
    <x v="79"/>
    <x v="1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x v="0"/>
    <x v="57"/>
    <x v="1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x v="0"/>
    <x v="244"/>
    <x v="1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x v="0"/>
    <x v="83"/>
    <x v="1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x v="0"/>
    <x v="29"/>
    <x v="1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x v="0"/>
    <x v="84"/>
    <x v="1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x v="0"/>
    <x v="63"/>
    <x v="1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x v="0"/>
    <x v="25"/>
    <x v="1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x v="0"/>
    <x v="78"/>
    <x v="1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x v="0"/>
    <x v="78"/>
    <x v="1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x v="0"/>
    <x v="29"/>
    <x v="1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x v="0"/>
    <x v="8"/>
    <x v="1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x v="0"/>
    <x v="8"/>
    <x v="1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x v="0"/>
    <x v="23"/>
    <x v="1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x v="0"/>
    <x v="78"/>
    <x v="1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x v="0"/>
    <x v="73"/>
    <x v="1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x v="0"/>
    <x v="81"/>
    <x v="1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x v="0"/>
    <x v="29"/>
    <x v="1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x v="0"/>
    <x v="84"/>
    <x v="1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x v="0"/>
    <x v="84"/>
    <x v="1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x v="0"/>
    <x v="78"/>
    <x v="1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x v="0"/>
    <x v="62"/>
    <x v="1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x v="0"/>
    <x v="78"/>
    <x v="1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x v="0"/>
    <x v="29"/>
    <x v="1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x v="0"/>
    <x v="81"/>
    <x v="1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x v="0"/>
    <x v="84"/>
    <x v="1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x v="0"/>
    <x v="78"/>
    <x v="1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x v="0"/>
    <x v="58"/>
    <x v="1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x v="0"/>
    <x v="29"/>
    <x v="1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x v="0"/>
    <x v="29"/>
    <x v="1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x v="0"/>
    <x v="29"/>
    <x v="1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x v="0"/>
    <x v="78"/>
    <x v="1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x v="0"/>
    <x v="78"/>
    <x v="1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x v="0"/>
    <x v="22"/>
    <x v="1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x v="0"/>
    <x v="78"/>
    <x v="1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x v="0"/>
    <x v="29"/>
    <x v="1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x v="0"/>
    <x v="38"/>
    <x v="1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x v="0"/>
    <x v="8"/>
    <x v="1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x v="0"/>
    <x v="80"/>
    <x v="1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x v="0"/>
    <x v="84"/>
    <x v="1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x v="0"/>
    <x v="83"/>
    <x v="1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x v="0"/>
    <x v="78"/>
    <x v="1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x v="0"/>
    <x v="83"/>
    <x v="1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x v="0"/>
    <x v="80"/>
    <x v="1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x v="0"/>
    <x v="84"/>
    <x v="1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x v="0"/>
    <x v="73"/>
    <x v="1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x v="0"/>
    <x v="202"/>
    <x v="1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x v="0"/>
    <x v="79"/>
    <x v="1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x v="0"/>
    <x v="84"/>
    <x v="1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x v="0"/>
    <x v="79"/>
    <x v="1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x v="0"/>
    <x v="22"/>
    <x v="1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x v="0"/>
    <x v="77"/>
    <x v="1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x v="0"/>
    <x v="202"/>
    <x v="1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x v="0"/>
    <x v="78"/>
    <x v="1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x v="0"/>
    <x v="73"/>
    <x v="1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x v="0"/>
    <x v="79"/>
    <x v="1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x v="0"/>
    <x v="22"/>
    <x v="1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x v="0"/>
    <x v="79"/>
    <x v="1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x v="0"/>
    <x v="63"/>
    <x v="1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x v="0"/>
    <x v="63"/>
    <x v="1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x v="0"/>
    <x v="81"/>
    <x v="1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x v="0"/>
    <x v="67"/>
    <x v="1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x v="0"/>
    <x v="73"/>
    <x v="1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x v="0"/>
    <x v="10"/>
    <x v="1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x v="0"/>
    <x v="62"/>
    <x v="1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x v="0"/>
    <x v="62"/>
    <x v="1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x v="0"/>
    <x v="80"/>
    <x v="1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x v="0"/>
    <x v="78"/>
    <x v="1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x v="0"/>
    <x v="83"/>
    <x v="1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x v="0"/>
    <x v="29"/>
    <x v="1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x v="0"/>
    <x v="82"/>
    <x v="1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x v="0"/>
    <x v="29"/>
    <x v="1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x v="0"/>
    <x v="29"/>
    <x v="1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x v="0"/>
    <x v="80"/>
    <x v="1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x v="0"/>
    <x v="57"/>
    <x v="1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x v="0"/>
    <x v="78"/>
    <x v="1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x v="0"/>
    <x v="8"/>
    <x v="1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x v="0"/>
    <x v="25"/>
    <x v="1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x v="0"/>
    <n v="1462631358"/>
    <x v="4000"/>
    <x v="0"/>
    <x v="29"/>
    <x v="1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x v="0"/>
    <x v="25"/>
    <x v="1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x v="0"/>
    <x v="80"/>
    <x v="1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x v="0"/>
    <x v="84"/>
    <x v="1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x v="0"/>
    <n v="1412740457"/>
    <x v="4004"/>
    <x v="0"/>
    <x v="29"/>
    <x v="1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x v="0"/>
    <x v="84"/>
    <x v="1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x v="0"/>
    <x v="29"/>
    <x v="1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x v="0"/>
    <x v="29"/>
    <x v="1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x v="0"/>
    <x v="80"/>
    <x v="1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x v="0"/>
    <x v="83"/>
    <x v="1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x v="0"/>
    <x v="44"/>
    <x v="1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x v="0"/>
    <x v="80"/>
    <x v="1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x v="0"/>
    <x v="78"/>
    <x v="1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x v="0"/>
    <x v="84"/>
    <x v="1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x v="0"/>
    <x v="78"/>
    <x v="1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x v="0"/>
    <x v="29"/>
    <x v="1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x v="0"/>
    <x v="63"/>
    <x v="1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x v="0"/>
    <x v="84"/>
    <x v="1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x v="0"/>
    <x v="80"/>
    <x v="1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x v="0"/>
    <x v="80"/>
    <x v="1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x v="0"/>
    <x v="83"/>
    <x v="1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x v="0"/>
    <x v="84"/>
    <x v="1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x v="0"/>
    <x v="438"/>
    <x v="1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x v="0"/>
    <x v="78"/>
    <x v="1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x v="0"/>
    <x v="29"/>
    <x v="1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x v="0"/>
    <x v="80"/>
    <x v="1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x v="0"/>
    <x v="78"/>
    <x v="1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x v="0"/>
    <x v="63"/>
    <x v="1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x v="0"/>
    <x v="202"/>
    <x v="1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x v="0"/>
    <x v="78"/>
    <x v="1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x v="0"/>
    <x v="79"/>
    <x v="1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x v="0"/>
    <x v="78"/>
    <x v="1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x v="0"/>
    <x v="63"/>
    <x v="1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x v="0"/>
    <x v="225"/>
    <x v="1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x v="0"/>
    <x v="84"/>
    <x v="1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x v="0"/>
    <x v="20"/>
    <x v="1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x v="0"/>
    <x v="57"/>
    <x v="1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x v="0"/>
    <x v="84"/>
    <x v="1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x v="0"/>
    <x v="80"/>
    <x v="1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x v="0"/>
    <x v="81"/>
    <x v="1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x v="0"/>
    <x v="84"/>
    <x v="1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x v="0"/>
    <x v="84"/>
    <x v="1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x v="0"/>
    <x v="83"/>
    <x v="1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x v="0"/>
    <x v="78"/>
    <x v="1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x v="0"/>
    <x v="80"/>
    <x v="1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x v="0"/>
    <x v="29"/>
    <x v="1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x v="0"/>
    <x v="8"/>
    <x v="1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x v="0"/>
    <x v="80"/>
    <x v="1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x v="0"/>
    <x v="110"/>
    <x v="1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x v="0"/>
    <x v="29"/>
    <x v="1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x v="0"/>
    <x v="29"/>
    <x v="1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x v="0"/>
    <x v="78"/>
    <x v="1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x v="0"/>
    <x v="62"/>
    <x v="1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x v="0"/>
    <x v="84"/>
    <x v="1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x v="0"/>
    <x v="78"/>
    <x v="1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x v="0"/>
    <x v="64"/>
    <x v="1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x v="0"/>
    <x v="82"/>
    <x v="1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x v="0"/>
    <x v="79"/>
    <x v="1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x v="0"/>
    <x v="80"/>
    <x v="1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x v="0"/>
    <x v="63"/>
    <x v="1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x v="0"/>
    <x v="81"/>
    <x v="1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x v="0"/>
    <x v="78"/>
    <x v="1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x v="0"/>
    <x v="83"/>
    <x v="1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x v="0"/>
    <x v="82"/>
    <x v="1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x v="0"/>
    <x v="79"/>
    <x v="1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x v="0"/>
    <x v="80"/>
    <x v="1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x v="0"/>
    <x v="29"/>
    <x v="1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x v="0"/>
    <x v="57"/>
    <x v="1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x v="0"/>
    <x v="29"/>
    <x v="1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x v="0"/>
    <x v="62"/>
    <x v="1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x v="0"/>
    <x v="79"/>
    <x v="1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x v="0"/>
    <x v="78"/>
    <x v="1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x v="0"/>
    <x v="84"/>
    <x v="1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x v="0"/>
    <x v="84"/>
    <x v="1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x v="0"/>
    <x v="64"/>
    <x v="1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x v="0"/>
    <x v="62"/>
    <x v="1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x v="0"/>
    <x v="78"/>
    <x v="1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x v="0"/>
    <x v="79"/>
    <x v="1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x v="0"/>
    <x v="78"/>
    <x v="1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x v="0"/>
    <x v="29"/>
    <x v="1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x v="0"/>
    <x v="78"/>
    <x v="1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x v="0"/>
    <x v="8"/>
    <x v="1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x v="0"/>
    <x v="84"/>
    <x v="1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x v="0"/>
    <x v="79"/>
    <x v="1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x v="0"/>
    <x v="29"/>
    <x v="1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x v="0"/>
    <x v="29"/>
    <x v="1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x v="0"/>
    <x v="81"/>
    <x v="1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x v="0"/>
    <n v="1468777786"/>
    <x v="4087"/>
    <x v="0"/>
    <x v="78"/>
    <x v="1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x v="0"/>
    <x v="83"/>
    <x v="1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x v="0"/>
    <x v="22"/>
    <x v="1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x v="0"/>
    <x v="83"/>
    <x v="1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x v="0"/>
    <x v="22"/>
    <x v="1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x v="0"/>
    <x v="29"/>
    <x v="1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x v="0"/>
    <x v="80"/>
    <x v="1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x v="0"/>
    <x v="22"/>
    <x v="1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x v="0"/>
    <x v="29"/>
    <x v="1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x v="0"/>
    <x v="81"/>
    <x v="1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x v="0"/>
    <x v="78"/>
    <x v="1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x v="0"/>
    <x v="78"/>
    <x v="1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x v="0"/>
    <x v="29"/>
    <x v="1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x v="0"/>
    <x v="78"/>
    <x v="1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x v="0"/>
    <x v="78"/>
    <x v="1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x v="0"/>
    <x v="79"/>
    <x v="1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x v="0"/>
    <x v="79"/>
    <x v="1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x v="0"/>
    <x v="25"/>
    <x v="1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x v="0"/>
    <x v="79"/>
    <x v="1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x v="0"/>
    <x v="51"/>
    <x v="1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x v="0"/>
    <x v="80"/>
    <x v="1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x v="0"/>
    <x v="29"/>
    <x v="1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x v="0"/>
    <x v="78"/>
    <x v="1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x v="0"/>
    <x v="79"/>
    <x v="1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x v="0"/>
    <x v="79"/>
    <x v="1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x v="0"/>
    <x v="29"/>
    <x v="1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x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x v="0"/>
    <n v="182"/>
    <x v="0"/>
    <s v="film &amp; video/television"/>
    <n v="137"/>
    <n v="63.92"/>
    <x v="0"/>
    <x v="0"/>
    <x v="0"/>
    <d v="2015-07-23T03:00:00"/>
    <x v="0"/>
    <x v="0"/>
  </r>
  <r>
    <x v="1"/>
    <s v="FannibalFest Fan Convention"/>
    <s v="A Hannibal TV Show Fan Convention and Art Collective"/>
    <x v="1"/>
    <x v="1"/>
    <x v="0"/>
    <x v="0"/>
    <s v="USD"/>
    <n v="1488464683"/>
    <x v="1"/>
    <x v="0"/>
    <n v="79"/>
    <x v="0"/>
    <s v="film &amp; video/television"/>
    <n v="143"/>
    <n v="185.48"/>
    <x v="0"/>
    <x v="0"/>
    <x v="1"/>
    <d v="2017-03-02T14:24:43"/>
    <x v="1"/>
    <x v="1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x v="0"/>
    <n v="35"/>
    <x v="0"/>
    <s v="film &amp; video/television"/>
    <n v="105"/>
    <n v="15"/>
    <x v="0"/>
    <x v="0"/>
    <x v="2"/>
    <d v="2016-02-15T16:51:23"/>
    <x v="2"/>
    <x v="2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x v="0"/>
    <n v="150"/>
    <x v="0"/>
    <s v="film &amp; video/television"/>
    <n v="104"/>
    <n v="69.27"/>
    <x v="0"/>
    <x v="0"/>
    <x v="3"/>
    <d v="2014-08-07T12:21:47"/>
    <x v="1"/>
    <x v="3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x v="0"/>
    <n v="284"/>
    <x v="0"/>
    <s v="film &amp; video/television"/>
    <n v="123"/>
    <n v="190.55"/>
    <x v="0"/>
    <x v="0"/>
    <x v="4"/>
    <d v="2015-12-19T20:01:19"/>
    <x v="1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x v="0"/>
    <n v="47"/>
    <x v="0"/>
    <s v="film &amp; video/television"/>
    <n v="110"/>
    <n v="93.4"/>
    <x v="0"/>
    <x v="0"/>
    <x v="5"/>
    <d v="2016-07-29T05:35:00"/>
    <x v="3"/>
    <x v="2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x v="0"/>
    <n v="58"/>
    <x v="0"/>
    <s v="film &amp; video/television"/>
    <n v="106"/>
    <n v="146.88"/>
    <x v="0"/>
    <x v="0"/>
    <x v="6"/>
    <d v="2014-06-14T01:44:10"/>
    <x v="2"/>
    <x v="3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x v="0"/>
    <n v="57"/>
    <x v="0"/>
    <s v="film &amp; video/television"/>
    <n v="101"/>
    <n v="159.82"/>
    <x v="0"/>
    <x v="0"/>
    <x v="7"/>
    <d v="2016-07-05T01:07:47"/>
    <x v="4"/>
    <x v="2"/>
  </r>
  <r>
    <x v="8"/>
    <s v="Sizzling in the Kitchen Flynn Style"/>
    <s v="Help us raise the funds to film our pilot episode!"/>
    <x v="8"/>
    <x v="8"/>
    <x v="0"/>
    <x v="0"/>
    <s v="USD"/>
    <n v="1460754000"/>
    <x v="8"/>
    <x v="0"/>
    <n v="12"/>
    <x v="0"/>
    <s v="film &amp; video/television"/>
    <n v="100"/>
    <n v="291.79000000000002"/>
    <x v="0"/>
    <x v="0"/>
    <x v="8"/>
    <d v="2016-04-15T21:00:00"/>
    <x v="5"/>
    <x v="2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x v="0"/>
    <n v="20"/>
    <x v="0"/>
    <s v="film &amp; video/television"/>
    <n v="126"/>
    <n v="31.5"/>
    <x v="0"/>
    <x v="0"/>
    <x v="9"/>
    <d v="2016-04-17T02:29:04"/>
    <x v="1"/>
    <x v="2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x v="0"/>
    <n v="19"/>
    <x v="0"/>
    <s v="film &amp; video/television"/>
    <n v="101"/>
    <n v="158.68"/>
    <x v="0"/>
    <x v="0"/>
    <x v="10"/>
    <d v="2014-06-25T01:37:59"/>
    <x v="6"/>
    <x v="3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x v="0"/>
    <n v="75"/>
    <x v="0"/>
    <s v="film &amp; video/television"/>
    <n v="121"/>
    <n v="80.33"/>
    <x v="0"/>
    <x v="0"/>
    <x v="11"/>
    <d v="2016-08-22T03:00:00"/>
    <x v="7"/>
    <x v="2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x v="0"/>
    <n v="827"/>
    <x v="0"/>
    <s v="film &amp; video/television"/>
    <n v="165"/>
    <n v="59.96"/>
    <x v="0"/>
    <x v="0"/>
    <x v="12"/>
    <d v="2014-07-16T03:00:00"/>
    <x v="8"/>
    <x v="3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x v="13"/>
    <x v="0"/>
    <n v="51"/>
    <x v="0"/>
    <s v="film &amp; video/television"/>
    <n v="160"/>
    <n v="109.78"/>
    <x v="0"/>
    <x v="0"/>
    <x v="13"/>
    <d v="2016-06-23T20:27:00"/>
    <x v="9"/>
    <x v="2"/>
  </r>
  <r>
    <x v="14"/>
    <s v="3010 | Sci-fi Series"/>
    <s v="A highly charged post apocalyptic sci fi series that pulls no punches!"/>
    <x v="12"/>
    <x v="14"/>
    <x v="0"/>
    <x v="2"/>
    <s v="AUD"/>
    <n v="1405259940"/>
    <x v="14"/>
    <x v="0"/>
    <n v="41"/>
    <x v="0"/>
    <s v="film &amp; video/television"/>
    <n v="101"/>
    <n v="147.71"/>
    <x v="0"/>
    <x v="0"/>
    <x v="14"/>
    <d v="2014-07-13T13:59:00"/>
    <x v="10"/>
    <x v="3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x v="0"/>
    <n v="98"/>
    <x v="0"/>
    <s v="film &amp; video/television"/>
    <n v="107"/>
    <n v="21.76"/>
    <x v="0"/>
    <x v="0"/>
    <x v="15"/>
    <d v="2015-09-27T20:14:00"/>
    <x v="11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x v="0"/>
    <n v="70"/>
    <x v="0"/>
    <s v="film &amp; video/television"/>
    <n v="100"/>
    <n v="171.84"/>
    <x v="0"/>
    <x v="0"/>
    <x v="16"/>
    <d v="2014-06-16T05:30:00"/>
    <x v="12"/>
    <x v="3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x v="0"/>
    <n v="36"/>
    <x v="0"/>
    <s v="film &amp; video/television"/>
    <n v="101"/>
    <n v="41.94"/>
    <x v="0"/>
    <x v="0"/>
    <x v="17"/>
    <d v="2014-11-04T18:33:42"/>
    <x v="13"/>
    <x v="3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x v="0"/>
    <n v="342"/>
    <x v="0"/>
    <s v="film &amp; video/television"/>
    <n v="106"/>
    <n v="93.26"/>
    <x v="0"/>
    <x v="0"/>
    <x v="18"/>
    <d v="2014-09-17T13:00:56"/>
    <x v="1"/>
    <x v="3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x v="0"/>
    <n v="22"/>
    <x v="0"/>
    <s v="film &amp; video/television"/>
    <n v="145"/>
    <n v="56.14"/>
    <x v="0"/>
    <x v="0"/>
    <x v="19"/>
    <d v="2015-07-20T19:35:34"/>
    <x v="1"/>
    <x v="0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x v="0"/>
    <n v="25"/>
    <x v="0"/>
    <s v="film &amp; video/television"/>
    <n v="100"/>
    <n v="80.16"/>
    <x v="0"/>
    <x v="0"/>
    <x v="20"/>
    <d v="2015-09-13T18:11:52"/>
    <x v="14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x v="0"/>
    <n v="101"/>
    <x v="0"/>
    <s v="film &amp; video/television"/>
    <n v="109"/>
    <n v="199.9"/>
    <x v="0"/>
    <x v="0"/>
    <x v="21"/>
    <d v="2014-09-26T15:03:09"/>
    <x v="1"/>
    <x v="3"/>
  </r>
  <r>
    <x v="22"/>
    <s v="CREATURES OF HABIT!"/>
    <s v="Meet Gary, and Troy: Two unlikely friends that investigate &quot;strange phenomenon&quot;."/>
    <x v="18"/>
    <x v="22"/>
    <x v="0"/>
    <x v="0"/>
    <s v="USD"/>
    <n v="1420099140"/>
    <x v="22"/>
    <x v="0"/>
    <n v="8"/>
    <x v="0"/>
    <s v="film &amp; video/television"/>
    <n v="117"/>
    <n v="51.25"/>
    <x v="0"/>
    <x v="0"/>
    <x v="22"/>
    <d v="2015-01-01T07:59:00"/>
    <x v="15"/>
    <x v="3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x v="0"/>
    <n v="23"/>
    <x v="0"/>
    <s v="film &amp; video/television"/>
    <n v="119"/>
    <n v="103.04"/>
    <x v="0"/>
    <x v="0"/>
    <x v="23"/>
    <d v="2015-04-30T15:20:00"/>
    <x v="16"/>
    <x v="0"/>
  </r>
  <r>
    <x v="24"/>
    <s v="Bring STL Up Late to TV"/>
    <s v="STL Up Late is a weekly late night comedy talk show for St. Louis television."/>
    <x v="19"/>
    <x v="24"/>
    <x v="0"/>
    <x v="0"/>
    <s v="USD"/>
    <n v="1442345940"/>
    <x v="24"/>
    <x v="0"/>
    <n v="574"/>
    <x v="0"/>
    <s v="film &amp; video/television"/>
    <n v="109"/>
    <n v="66.349999999999994"/>
    <x v="0"/>
    <x v="0"/>
    <x v="24"/>
    <d v="2015-09-15T19:39:00"/>
    <x v="17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x v="0"/>
    <n v="14"/>
    <x v="0"/>
    <s v="film &amp; video/television"/>
    <n v="133"/>
    <n v="57.14"/>
    <x v="0"/>
    <x v="0"/>
    <x v="25"/>
    <d v="2016-01-09T00:36:01"/>
    <x v="14"/>
    <x v="0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x v="0"/>
    <n v="19"/>
    <x v="0"/>
    <s v="film &amp; video/television"/>
    <n v="155"/>
    <n v="102.11"/>
    <x v="0"/>
    <x v="0"/>
    <x v="26"/>
    <d v="2014-08-17T12:22:24"/>
    <x v="4"/>
    <x v="3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x v="0"/>
    <n v="150"/>
    <x v="0"/>
    <s v="film &amp; video/television"/>
    <n v="112"/>
    <n v="148.97"/>
    <x v="0"/>
    <x v="0"/>
    <x v="27"/>
    <d v="2014-11-16T04:57:13"/>
    <x v="13"/>
    <x v="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x v="0"/>
    <n v="71"/>
    <x v="0"/>
    <s v="film &amp; video/television"/>
    <n v="100"/>
    <n v="169.61"/>
    <x v="0"/>
    <x v="0"/>
    <x v="28"/>
    <d v="2015-12-16T23:08:04"/>
    <x v="1"/>
    <x v="0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x v="0"/>
    <n v="117"/>
    <x v="0"/>
    <s v="film &amp; video/television"/>
    <n v="123"/>
    <n v="31.62"/>
    <x v="0"/>
    <x v="0"/>
    <x v="29"/>
    <d v="2014-07-22T16:09:28"/>
    <x v="1"/>
    <x v="3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x v="0"/>
    <n v="53"/>
    <x v="0"/>
    <s v="film &amp; video/television"/>
    <n v="101"/>
    <n v="76.45"/>
    <x v="0"/>
    <x v="0"/>
    <x v="30"/>
    <d v="2014-08-21T07:01:55"/>
    <x v="1"/>
    <x v="3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x v="0"/>
    <n v="1"/>
    <x v="0"/>
    <s v="film &amp; video/television"/>
    <n v="100"/>
    <n v="13"/>
    <x v="0"/>
    <x v="0"/>
    <x v="31"/>
    <d v="2016-01-25T19:00:34"/>
    <x v="18"/>
    <x v="2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x v="0"/>
    <n v="89"/>
    <x v="0"/>
    <s v="film &amp; video/television"/>
    <n v="100"/>
    <n v="320.45"/>
    <x v="0"/>
    <x v="0"/>
    <x v="32"/>
    <d v="2016-05-13T03:59:00"/>
    <x v="19"/>
    <x v="2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x v="0"/>
    <n v="64"/>
    <x v="0"/>
    <s v="film &amp; video/television"/>
    <n v="102"/>
    <n v="83.75"/>
    <x v="0"/>
    <x v="0"/>
    <x v="33"/>
    <d v="2015-11-08T16:51:41"/>
    <x v="13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x v="0"/>
    <n v="68"/>
    <x v="0"/>
    <s v="film &amp; video/television"/>
    <n v="130"/>
    <n v="49.88"/>
    <x v="0"/>
    <x v="0"/>
    <x v="34"/>
    <d v="2014-08-05T07:43:21"/>
    <x v="20"/>
    <x v="3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x v="0"/>
    <n v="28"/>
    <x v="0"/>
    <s v="film &amp; video/television"/>
    <n v="167"/>
    <n v="59.46"/>
    <x v="0"/>
    <x v="0"/>
    <x v="35"/>
    <d v="2015-04-28T00:00:00"/>
    <x v="21"/>
    <x v="0"/>
  </r>
  <r>
    <x v="36"/>
    <s v="THE LISTENING BOX"/>
    <s v="A modern day priest makes an unusual discovery, setting off a chain of events."/>
    <x v="12"/>
    <x v="36"/>
    <x v="0"/>
    <x v="0"/>
    <s v="USD"/>
    <n v="1428128525"/>
    <x v="36"/>
    <x v="0"/>
    <n v="44"/>
    <x v="0"/>
    <s v="film &amp; video/television"/>
    <n v="142"/>
    <n v="193.84"/>
    <x v="0"/>
    <x v="0"/>
    <x v="36"/>
    <d v="2015-04-04T06:22:05"/>
    <x v="22"/>
    <x v="0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x v="0"/>
    <n v="253"/>
    <x v="0"/>
    <s v="film &amp; video/television"/>
    <n v="183"/>
    <n v="159.51"/>
    <x v="0"/>
    <x v="0"/>
    <x v="37"/>
    <d v="2015-02-27T16:37:59"/>
    <x v="1"/>
    <x v="0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x v="0"/>
    <n v="66"/>
    <x v="0"/>
    <s v="film &amp; video/television"/>
    <n v="110"/>
    <n v="41.68"/>
    <x v="0"/>
    <x v="0"/>
    <x v="38"/>
    <d v="2013-05-11T01:22:24"/>
    <x v="1"/>
    <x v="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x v="0"/>
    <n v="217"/>
    <x v="0"/>
    <s v="film &amp; video/television"/>
    <n v="131"/>
    <n v="150.9"/>
    <x v="0"/>
    <x v="0"/>
    <x v="39"/>
    <d v="2014-05-25T22:59:00"/>
    <x v="23"/>
    <x v="3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x v="0"/>
    <n v="16"/>
    <x v="0"/>
    <s v="film &amp; video/television"/>
    <n v="101"/>
    <n v="126.69"/>
    <x v="0"/>
    <x v="0"/>
    <x v="40"/>
    <d v="2014-06-19T04:00:00"/>
    <x v="24"/>
    <x v="3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x v="0"/>
    <n v="19"/>
    <x v="0"/>
    <s v="film &amp; video/television"/>
    <n v="100"/>
    <n v="105.26"/>
    <x v="0"/>
    <x v="0"/>
    <x v="41"/>
    <d v="2014-10-05T13:39:14"/>
    <x v="1"/>
    <x v="3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x v="0"/>
    <n v="169"/>
    <x v="0"/>
    <s v="film &amp; video/television"/>
    <n v="142"/>
    <n v="117.51"/>
    <x v="0"/>
    <x v="0"/>
    <x v="42"/>
    <d v="2014-12-28T15:20:26"/>
    <x v="1"/>
    <x v="3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x v="0"/>
    <n v="263"/>
    <x v="0"/>
    <s v="film &amp; video/television"/>
    <n v="309"/>
    <n v="117.36"/>
    <x v="0"/>
    <x v="0"/>
    <x v="43"/>
    <d v="2014-07-13T00:00:00"/>
    <x v="25"/>
    <x v="3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x v="0"/>
    <n v="15"/>
    <x v="0"/>
    <s v="film &amp; video/television"/>
    <n v="100"/>
    <n v="133.33000000000001"/>
    <x v="0"/>
    <x v="0"/>
    <x v="44"/>
    <d v="2014-10-07T02:22:17"/>
    <x v="26"/>
    <x v="3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x v="0"/>
    <n v="61"/>
    <x v="0"/>
    <s v="film &amp; video/television"/>
    <n v="120"/>
    <n v="98.36"/>
    <x v="0"/>
    <x v="0"/>
    <x v="45"/>
    <d v="2016-04-27T14:58:27"/>
    <x v="1"/>
    <x v="2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x v="0"/>
    <n v="45"/>
    <x v="0"/>
    <s v="film &amp; video/television"/>
    <n v="104"/>
    <n v="194.44"/>
    <x v="0"/>
    <x v="0"/>
    <x v="46"/>
    <d v="2015-12-15T23:09:34"/>
    <x v="1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x v="0"/>
    <n v="70"/>
    <x v="0"/>
    <s v="film &amp; video/television"/>
    <n v="108"/>
    <n v="76.87"/>
    <x v="0"/>
    <x v="0"/>
    <x v="47"/>
    <d v="2014-12-19T20:40:07"/>
    <x v="27"/>
    <x v="3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x v="0"/>
    <n v="38"/>
    <x v="0"/>
    <s v="film &amp; video/television"/>
    <n v="108"/>
    <n v="56.82"/>
    <x v="0"/>
    <x v="0"/>
    <x v="48"/>
    <d v="2015-03-01T12:00:00"/>
    <x v="28"/>
    <x v="0"/>
  </r>
  <r>
    <x v="49"/>
    <s v="Driving Jersey - Season Five"/>
    <s v="Driving Jersey is real people telling real stories."/>
    <x v="14"/>
    <x v="48"/>
    <x v="0"/>
    <x v="0"/>
    <s v="USD"/>
    <n v="1445660045"/>
    <x v="49"/>
    <x v="0"/>
    <n v="87"/>
    <x v="0"/>
    <s v="film &amp; video/television"/>
    <n v="100"/>
    <n v="137.93"/>
    <x v="0"/>
    <x v="0"/>
    <x v="49"/>
    <d v="2015-10-24T04:14:05"/>
    <x v="1"/>
    <x v="0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x v="0"/>
    <n v="22"/>
    <x v="0"/>
    <s v="film &amp; video/television"/>
    <n v="100"/>
    <n v="27.27"/>
    <x v="0"/>
    <x v="0"/>
    <x v="50"/>
    <d v="2015-01-30T17:00:00"/>
    <x v="29"/>
    <x v="3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x v="0"/>
    <n v="119"/>
    <x v="0"/>
    <s v="film &amp; video/television"/>
    <n v="128"/>
    <n v="118.34"/>
    <x v="0"/>
    <x v="0"/>
    <x v="51"/>
    <d v="2015-08-10T22:17:17"/>
    <x v="1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x v="0"/>
    <n v="52"/>
    <x v="0"/>
    <s v="film &amp; video/television"/>
    <n v="116"/>
    <n v="223.48"/>
    <x v="0"/>
    <x v="0"/>
    <x v="52"/>
    <d v="2014-07-17T16:50:46"/>
    <x v="1"/>
    <x v="3"/>
  </r>
  <r>
    <x v="53"/>
    <s v="Rolling out Vegan Mashup's Season 2"/>
    <s v="Delicious TV's Vegan Mashup launching season two on public television"/>
    <x v="9"/>
    <x v="52"/>
    <x v="0"/>
    <x v="0"/>
    <s v="USD"/>
    <n v="1396648800"/>
    <x v="53"/>
    <x v="0"/>
    <n v="117"/>
    <x v="0"/>
    <s v="film &amp; video/television"/>
    <n v="110"/>
    <n v="28.11"/>
    <x v="0"/>
    <x v="0"/>
    <x v="53"/>
    <d v="2014-04-04T22:00:00"/>
    <x v="30"/>
    <x v="3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x v="0"/>
    <n v="52"/>
    <x v="0"/>
    <s v="film &amp; video/television"/>
    <n v="101"/>
    <n v="194.23"/>
    <x v="0"/>
    <x v="0"/>
    <x v="54"/>
    <d v="2015-12-25T17:07:01"/>
    <x v="1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x v="0"/>
    <n v="86"/>
    <x v="0"/>
    <s v="film &amp; video/television"/>
    <n v="129"/>
    <n v="128.94999999999999"/>
    <x v="0"/>
    <x v="0"/>
    <x v="55"/>
    <d v="2016-05-27T23:15:16"/>
    <x v="31"/>
    <x v="2"/>
  </r>
  <r>
    <x v="56"/>
    <s v="Voxwomen Cycling Show"/>
    <s v="We want to see more women's cycling on TV - and we need your help to make it happen!"/>
    <x v="6"/>
    <x v="55"/>
    <x v="0"/>
    <x v="1"/>
    <s v="GBP"/>
    <n v="1433779200"/>
    <x v="56"/>
    <x v="0"/>
    <n v="174"/>
    <x v="0"/>
    <s v="film &amp; video/television"/>
    <n v="107"/>
    <n v="49.32"/>
    <x v="0"/>
    <x v="0"/>
    <x v="56"/>
    <d v="2015-06-08T16:00:00"/>
    <x v="32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x v="0"/>
    <n v="69"/>
    <x v="0"/>
    <s v="film &amp; video/television"/>
    <n v="102"/>
    <n v="221.52"/>
    <x v="0"/>
    <x v="0"/>
    <x v="57"/>
    <d v="2015-04-25T19:59:22"/>
    <x v="1"/>
    <x v="0"/>
  </r>
  <r>
    <x v="58"/>
    <s v="Gloaming"/>
    <s v="Alex thought he knew how the world worked. You live, you die and it's over. He was very, very wrong."/>
    <x v="3"/>
    <x v="57"/>
    <x v="0"/>
    <x v="0"/>
    <s v="USD"/>
    <n v="1416423172"/>
    <x v="58"/>
    <x v="0"/>
    <n v="75"/>
    <x v="0"/>
    <s v="film &amp; video/television"/>
    <n v="103"/>
    <n v="137.21"/>
    <x v="0"/>
    <x v="0"/>
    <x v="58"/>
    <d v="2014-11-19T18:52:52"/>
    <x v="13"/>
    <x v="3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x v="0"/>
    <n v="33"/>
    <x v="0"/>
    <s v="film &amp; video/television"/>
    <n v="100"/>
    <n v="606.82000000000005"/>
    <x v="0"/>
    <x v="0"/>
    <x v="59"/>
    <d v="2015-09-14T21:00:00"/>
    <x v="33"/>
    <x v="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x v="0"/>
    <n v="108"/>
    <x v="0"/>
    <s v="film &amp; video/shorts"/>
    <n v="103"/>
    <n v="43.04"/>
    <x v="0"/>
    <x v="1"/>
    <x v="60"/>
    <d v="2014-03-23T00:00:00"/>
    <x v="34"/>
    <x v="3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x v="0"/>
    <n v="23"/>
    <x v="0"/>
    <s v="film &amp; video/shorts"/>
    <n v="148"/>
    <n v="322.39"/>
    <x v="0"/>
    <x v="1"/>
    <x v="61"/>
    <d v="2013-06-06T19:32:37"/>
    <x v="35"/>
    <x v="4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x v="0"/>
    <n v="48"/>
    <x v="0"/>
    <s v="film &amp; video/shorts"/>
    <n v="155"/>
    <n v="96.71"/>
    <x v="0"/>
    <x v="1"/>
    <x v="62"/>
    <d v="2013-03-03T19:11:18"/>
    <x v="36"/>
    <x v="4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x v="0"/>
    <n v="64"/>
    <x v="0"/>
    <s v="film &amp; video/shorts"/>
    <n v="114"/>
    <n v="35.47"/>
    <x v="0"/>
    <x v="1"/>
    <x v="63"/>
    <d v="2013-12-28T04:59:00"/>
    <x v="37"/>
    <x v="4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x v="0"/>
    <n v="24"/>
    <x v="0"/>
    <s v="film &amp; video/shorts"/>
    <n v="173"/>
    <n v="86.67"/>
    <x v="0"/>
    <x v="1"/>
    <x v="64"/>
    <d v="2013-07-08T00:26:21"/>
    <x v="1"/>
    <x v="4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x v="0"/>
    <n v="57"/>
    <x v="0"/>
    <s v="film &amp; video/shorts"/>
    <n v="108"/>
    <n v="132.05000000000001"/>
    <x v="0"/>
    <x v="1"/>
    <x v="65"/>
    <d v="2014-08-11T05:59:00"/>
    <x v="38"/>
    <x v="3"/>
  </r>
  <r>
    <x v="66"/>
    <s v="A Stagnant Fever: Short Film"/>
    <s v="A dark comedy set in the '60s about clinical depression and one night stands."/>
    <x v="13"/>
    <x v="65"/>
    <x v="0"/>
    <x v="0"/>
    <s v="USD"/>
    <n v="1468873420"/>
    <x v="66"/>
    <x v="0"/>
    <n v="26"/>
    <x v="0"/>
    <s v="film &amp; video/shorts"/>
    <n v="119"/>
    <n v="91.23"/>
    <x v="0"/>
    <x v="1"/>
    <x v="66"/>
    <d v="2016-07-18T20:23:40"/>
    <x v="1"/>
    <x v="2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x v="0"/>
    <n v="20"/>
    <x v="0"/>
    <s v="film &amp; video/shorts"/>
    <n v="116"/>
    <n v="116.25"/>
    <x v="0"/>
    <x v="1"/>
    <x v="67"/>
    <d v="2012-07-15T14:00:04"/>
    <x v="1"/>
    <x v="5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x v="0"/>
    <n v="36"/>
    <x v="0"/>
    <s v="film &amp; video/shorts"/>
    <n v="127"/>
    <n v="21.19"/>
    <x v="0"/>
    <x v="1"/>
    <x v="68"/>
    <d v="2014-02-23T13:39:51"/>
    <x v="1"/>
    <x v="3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x v="0"/>
    <n v="178"/>
    <x v="0"/>
    <s v="film &amp; video/shorts"/>
    <n v="111"/>
    <n v="62.33"/>
    <x v="0"/>
    <x v="1"/>
    <x v="69"/>
    <d v="2011-10-02T06:59:00"/>
    <x v="39"/>
    <x v="6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x v="0"/>
    <n v="17"/>
    <x v="0"/>
    <s v="film &amp; video/shorts"/>
    <n v="127"/>
    <n v="37.409999999999997"/>
    <x v="0"/>
    <x v="1"/>
    <x v="70"/>
    <d v="2011-09-04T21:30:45"/>
    <x v="14"/>
    <x v="6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x v="0"/>
    <n v="32"/>
    <x v="0"/>
    <s v="film &amp; video/shorts"/>
    <n v="124"/>
    <n v="69.72"/>
    <x v="0"/>
    <x v="1"/>
    <x v="71"/>
    <d v="2012-05-28T06:30:57"/>
    <x v="14"/>
    <x v="5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x v="0"/>
    <n v="41"/>
    <x v="0"/>
    <s v="film &amp; video/shorts"/>
    <n v="108"/>
    <n v="58.17"/>
    <x v="0"/>
    <x v="1"/>
    <x v="72"/>
    <d v="2012-11-15T00:00:00"/>
    <x v="40"/>
    <x v="5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x v="0"/>
    <n v="18"/>
    <x v="0"/>
    <s v="film &amp; video/shorts"/>
    <n v="100"/>
    <n v="50"/>
    <x v="0"/>
    <x v="1"/>
    <x v="73"/>
    <d v="2011-05-03T03:59:00"/>
    <x v="41"/>
    <x v="6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x v="0"/>
    <n v="29"/>
    <x v="0"/>
    <s v="film &amp; video/shorts"/>
    <n v="113"/>
    <n v="19.47"/>
    <x v="0"/>
    <x v="1"/>
    <x v="74"/>
    <d v="2016-01-21T11:41:35"/>
    <x v="1"/>
    <x v="0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x v="0"/>
    <n v="47"/>
    <x v="0"/>
    <s v="film &amp; video/shorts"/>
    <n v="115"/>
    <n v="85.96"/>
    <x v="0"/>
    <x v="1"/>
    <x v="75"/>
    <d v="2013-04-23T05:01:12"/>
    <x v="1"/>
    <x v="4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x v="0"/>
    <n v="15"/>
    <x v="0"/>
    <s v="film &amp; video/shorts"/>
    <n v="153"/>
    <n v="30.67"/>
    <x v="0"/>
    <x v="1"/>
    <x v="76"/>
    <d v="2011-12-27T17:35:58"/>
    <x v="27"/>
    <x v="6"/>
  </r>
  <r>
    <x v="77"/>
    <s v="Jonah and the Crab"/>
    <s v="A short film about a boy searching for companionship in a hermit crab he finds on the beach."/>
    <x v="44"/>
    <x v="76"/>
    <x v="0"/>
    <x v="0"/>
    <s v="USD"/>
    <n v="1337569140"/>
    <x v="77"/>
    <x v="0"/>
    <n v="26"/>
    <x v="0"/>
    <s v="film &amp; video/shorts"/>
    <n v="393"/>
    <n v="60.38"/>
    <x v="0"/>
    <x v="1"/>
    <x v="77"/>
    <d v="2012-05-21T02:59:00"/>
    <x v="42"/>
    <x v="5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x v="0"/>
    <n v="35"/>
    <x v="0"/>
    <s v="film &amp; video/shorts"/>
    <n v="2702"/>
    <n v="38.6"/>
    <x v="0"/>
    <x v="1"/>
    <x v="78"/>
    <d v="2016-09-01T17:32:01"/>
    <x v="2"/>
    <x v="2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x v="0"/>
    <n v="41"/>
    <x v="0"/>
    <s v="film &amp; video/shorts"/>
    <n v="127"/>
    <n v="40.270000000000003"/>
    <x v="0"/>
    <x v="1"/>
    <x v="79"/>
    <d v="2014-04-25T18:38:13"/>
    <x v="1"/>
    <x v="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x v="0"/>
    <n v="47"/>
    <x v="0"/>
    <s v="film &amp; video/shorts"/>
    <n v="107"/>
    <n v="273.83"/>
    <x v="0"/>
    <x v="1"/>
    <x v="80"/>
    <d v="2013-12-10T02:00:56"/>
    <x v="6"/>
    <x v="4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x v="0"/>
    <n v="28"/>
    <x v="0"/>
    <s v="film &amp; video/shorts"/>
    <n v="198"/>
    <n v="53.04"/>
    <x v="0"/>
    <x v="1"/>
    <x v="81"/>
    <d v="2012-07-14T03:02:00"/>
    <x v="43"/>
    <x v="5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x v="0"/>
    <n v="100"/>
    <x v="0"/>
    <s v="film &amp; video/shorts"/>
    <n v="100"/>
    <n v="40.01"/>
    <x v="0"/>
    <x v="1"/>
    <x v="82"/>
    <d v="2011-10-09T19:41:01"/>
    <x v="1"/>
    <x v="6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x v="0"/>
    <n v="13"/>
    <x v="0"/>
    <s v="film &amp; video/shorts"/>
    <n v="103"/>
    <n v="15.77"/>
    <x v="0"/>
    <x v="1"/>
    <x v="83"/>
    <d v="2015-02-22T11:30:00"/>
    <x v="44"/>
    <x v="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x v="0"/>
    <n v="7"/>
    <x v="0"/>
    <s v="film &amp; video/shorts"/>
    <n v="100"/>
    <n v="71.430000000000007"/>
    <x v="0"/>
    <x v="1"/>
    <x v="84"/>
    <d v="2011-05-15T18:11:26"/>
    <x v="1"/>
    <x v="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x v="0"/>
    <n v="21"/>
    <x v="0"/>
    <s v="film &amp; video/shorts"/>
    <n v="126"/>
    <n v="71.709999999999994"/>
    <x v="0"/>
    <x v="1"/>
    <x v="85"/>
    <d v="2011-09-23T03:00:37"/>
    <x v="1"/>
    <x v="6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x v="0"/>
    <n v="17"/>
    <x v="0"/>
    <s v="film &amp; video/shorts"/>
    <n v="106"/>
    <n v="375.76"/>
    <x v="0"/>
    <x v="1"/>
    <x v="86"/>
    <d v="2015-12-27T14:20:45"/>
    <x v="45"/>
    <x v="0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x v="0"/>
    <n v="25"/>
    <x v="0"/>
    <s v="film &amp; video/shorts"/>
    <n v="105"/>
    <n v="104.6"/>
    <x v="0"/>
    <x v="1"/>
    <x v="87"/>
    <d v="2010-06-03T01:41:00"/>
    <x v="46"/>
    <x v="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x v="0"/>
    <n v="60"/>
    <x v="0"/>
    <s v="film &amp; video/shorts"/>
    <n v="103"/>
    <n v="60"/>
    <x v="0"/>
    <x v="1"/>
    <x v="88"/>
    <d v="2014-06-22T15:48:51"/>
    <x v="47"/>
    <x v="3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x v="0"/>
    <n v="56"/>
    <x v="0"/>
    <s v="film &amp; video/shorts"/>
    <n v="115"/>
    <n v="123.29"/>
    <x v="0"/>
    <x v="1"/>
    <x v="89"/>
    <d v="2013-06-02T18:03:12"/>
    <x v="36"/>
    <x v="4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x v="0"/>
    <n v="16"/>
    <x v="0"/>
    <s v="film &amp; video/shorts"/>
    <n v="100"/>
    <n v="31.38"/>
    <x v="0"/>
    <x v="1"/>
    <x v="90"/>
    <d v="2011-07-12T07:08:19"/>
    <x v="1"/>
    <x v="6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x v="0"/>
    <n v="46"/>
    <x v="0"/>
    <s v="film &amp; video/shorts"/>
    <n v="120"/>
    <n v="78.260000000000005"/>
    <x v="0"/>
    <x v="1"/>
    <x v="91"/>
    <d v="2011-05-17T09:39:24"/>
    <x v="48"/>
    <x v="6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x v="0"/>
    <n v="43"/>
    <x v="0"/>
    <s v="film &amp; video/shorts"/>
    <n v="105"/>
    <n v="122.33"/>
    <x v="0"/>
    <x v="1"/>
    <x v="92"/>
    <d v="2017-02-01T08:00:00"/>
    <x v="49"/>
    <x v="2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x v="0"/>
    <n v="15"/>
    <x v="0"/>
    <s v="film &amp; video/shorts"/>
    <n v="111"/>
    <n v="73.73"/>
    <x v="0"/>
    <x v="1"/>
    <x v="93"/>
    <d v="2012-07-03T21:00:00"/>
    <x v="50"/>
    <x v="5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x v="0"/>
    <n v="12"/>
    <x v="0"/>
    <s v="film &amp; video/shorts"/>
    <n v="104"/>
    <n v="21.67"/>
    <x v="0"/>
    <x v="1"/>
    <x v="94"/>
    <d v="2014-04-07T17:13:42"/>
    <x v="51"/>
    <x v="3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x v="0"/>
    <n v="21"/>
    <x v="0"/>
    <s v="film &amp; video/shorts"/>
    <n v="131"/>
    <n v="21.9"/>
    <x v="0"/>
    <x v="1"/>
    <x v="95"/>
    <d v="2012-02-26T00:07:21"/>
    <x v="1"/>
    <x v="5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x v="0"/>
    <n v="34"/>
    <x v="0"/>
    <s v="film &amp; video/shorts"/>
    <n v="115"/>
    <n v="50.59"/>
    <x v="0"/>
    <x v="1"/>
    <x v="96"/>
    <d v="2010-08-01T03:00:00"/>
    <x v="52"/>
    <x v="7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x v="0"/>
    <n v="8"/>
    <x v="0"/>
    <s v="film &amp; video/shorts"/>
    <n v="106"/>
    <n v="53.13"/>
    <x v="0"/>
    <x v="1"/>
    <x v="97"/>
    <d v="2011-07-12T03:14:42"/>
    <x v="1"/>
    <x v="6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x v="0"/>
    <n v="60"/>
    <x v="0"/>
    <s v="film &amp; video/shorts"/>
    <n v="106"/>
    <n v="56.67"/>
    <x v="0"/>
    <x v="1"/>
    <x v="98"/>
    <d v="2012-12-07T23:30:00"/>
    <x v="53"/>
    <x v="5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x v="0"/>
    <n v="39"/>
    <x v="0"/>
    <s v="film &amp; video/shorts"/>
    <n v="106"/>
    <n v="40.78"/>
    <x v="0"/>
    <x v="1"/>
    <x v="99"/>
    <d v="2014-01-22T21:39:59"/>
    <x v="1"/>
    <x v="4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x v="0"/>
    <n v="26"/>
    <x v="0"/>
    <s v="film &amp; video/shorts"/>
    <n v="100"/>
    <n v="192.31"/>
    <x v="0"/>
    <x v="1"/>
    <x v="100"/>
    <d v="2012-11-04T19:04:46"/>
    <x v="54"/>
    <x v="5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x v="0"/>
    <n v="35"/>
    <x v="0"/>
    <s v="film &amp; video/shorts"/>
    <n v="100"/>
    <n v="100"/>
    <x v="0"/>
    <x v="1"/>
    <x v="101"/>
    <d v="2013-01-24T18:38:30"/>
    <x v="55"/>
    <x v="5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x v="0"/>
    <n v="65"/>
    <x v="0"/>
    <s v="film &amp; video/shorts"/>
    <n v="128"/>
    <n v="117.92"/>
    <x v="0"/>
    <x v="1"/>
    <x v="102"/>
    <d v="2010-12-23T03:08:53"/>
    <x v="1"/>
    <x v="7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x v="0"/>
    <n v="49"/>
    <x v="0"/>
    <s v="film &amp; video/shorts"/>
    <n v="105"/>
    <n v="27.9"/>
    <x v="0"/>
    <x v="1"/>
    <x v="103"/>
    <d v="2014-03-07T19:20:30"/>
    <x v="56"/>
    <x v="3"/>
  </r>
  <r>
    <x v="104"/>
    <s v="Good 'Ol Trumpet"/>
    <s v="UCF short film about an old man, his love for music, and his misplaced trumpet.  "/>
    <x v="2"/>
    <x v="49"/>
    <x v="0"/>
    <x v="0"/>
    <s v="USD"/>
    <n v="1301792400"/>
    <x v="104"/>
    <x v="0"/>
    <n v="10"/>
    <x v="0"/>
    <s v="film &amp; video/shorts"/>
    <n v="120"/>
    <n v="60"/>
    <x v="0"/>
    <x v="1"/>
    <x v="104"/>
    <d v="2011-04-03T01:00:00"/>
    <x v="57"/>
    <x v="6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x v="0"/>
    <n v="60"/>
    <x v="0"/>
    <s v="film &amp; video/shorts"/>
    <n v="107"/>
    <n v="39.380000000000003"/>
    <x v="0"/>
    <x v="1"/>
    <x v="105"/>
    <d v="2016-05-14T00:00:00"/>
    <x v="58"/>
    <x v="2"/>
  </r>
  <r>
    <x v="106"/>
    <s v="LOST WEEKEND"/>
    <s v="A Boy. A Girl. A Car. A Serial Killer."/>
    <x v="10"/>
    <x v="102"/>
    <x v="0"/>
    <x v="0"/>
    <s v="USD"/>
    <n v="1333391901"/>
    <x v="106"/>
    <x v="0"/>
    <n v="27"/>
    <x v="0"/>
    <s v="film &amp; video/shorts"/>
    <n v="101"/>
    <n v="186.11"/>
    <x v="0"/>
    <x v="1"/>
    <x v="106"/>
    <d v="2012-04-02T18:38:21"/>
    <x v="59"/>
    <x v="5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x v="0"/>
    <n v="69"/>
    <x v="0"/>
    <s v="film &amp; video/shorts"/>
    <n v="102"/>
    <n v="111.38"/>
    <x v="0"/>
    <x v="1"/>
    <x v="107"/>
    <d v="2011-04-24T23:34:47"/>
    <x v="35"/>
    <x v="6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x v="0"/>
    <n v="47"/>
    <x v="0"/>
    <s v="film &amp; video/shorts"/>
    <n v="247"/>
    <n v="78.72"/>
    <x v="0"/>
    <x v="1"/>
    <x v="108"/>
    <d v="2013-05-31T14:42:50"/>
    <x v="14"/>
    <x v="4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x v="0"/>
    <n v="47"/>
    <x v="0"/>
    <s v="film &amp; video/shorts"/>
    <n v="220"/>
    <n v="46.7"/>
    <x v="0"/>
    <x v="1"/>
    <x v="109"/>
    <d v="2011-02-26T00:37:10"/>
    <x v="1"/>
    <x v="6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x v="0"/>
    <n v="26"/>
    <x v="0"/>
    <s v="film &amp; video/shorts"/>
    <n v="131"/>
    <n v="65.38"/>
    <x v="0"/>
    <x v="1"/>
    <x v="110"/>
    <d v="2013-11-14T05:59:00"/>
    <x v="60"/>
    <x v="4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x v="0"/>
    <n v="53"/>
    <x v="0"/>
    <s v="film &amp; video/shorts"/>
    <n v="155"/>
    <n v="102.08"/>
    <x v="0"/>
    <x v="1"/>
    <x v="111"/>
    <d v="2015-05-31T07:59:47"/>
    <x v="1"/>
    <x v="0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x v="0"/>
    <n v="81"/>
    <x v="0"/>
    <s v="film &amp; video/shorts"/>
    <n v="104"/>
    <n v="64.2"/>
    <x v="0"/>
    <x v="1"/>
    <x v="112"/>
    <d v="2014-04-13T02:00:00"/>
    <x v="61"/>
    <x v="3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x v="0"/>
    <n v="78"/>
    <x v="0"/>
    <s v="film &amp; video/shorts"/>
    <n v="141"/>
    <n v="90.38"/>
    <x v="0"/>
    <x v="1"/>
    <x v="113"/>
    <d v="2011-08-06T15:00:00"/>
    <x v="62"/>
    <x v="6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x v="0"/>
    <n v="35"/>
    <x v="0"/>
    <s v="film &amp; video/shorts"/>
    <n v="103"/>
    <n v="88.57"/>
    <x v="0"/>
    <x v="1"/>
    <x v="114"/>
    <d v="2012-01-13T06:34:48"/>
    <x v="14"/>
    <x v="6"/>
  </r>
  <r>
    <x v="115"/>
    <s v="The World's Greatest Lover"/>
    <s v="Never judge a book (or a lover) by their cover."/>
    <x v="52"/>
    <x v="110"/>
    <x v="0"/>
    <x v="0"/>
    <s v="USD"/>
    <n v="1328377444"/>
    <x v="115"/>
    <x v="0"/>
    <n v="22"/>
    <x v="0"/>
    <s v="film &amp; video/shorts"/>
    <n v="140"/>
    <n v="28.73"/>
    <x v="0"/>
    <x v="1"/>
    <x v="115"/>
    <d v="2012-02-04T17:44:04"/>
    <x v="36"/>
    <x v="5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x v="0"/>
    <n v="57"/>
    <x v="0"/>
    <s v="film &amp; video/shorts"/>
    <n v="114"/>
    <n v="69.790000000000006"/>
    <x v="0"/>
    <x v="1"/>
    <x v="116"/>
    <d v="2011-04-08T10:55:55"/>
    <x v="63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x v="0"/>
    <n v="27"/>
    <x v="0"/>
    <s v="film &amp; video/shorts"/>
    <n v="100"/>
    <n v="167.49"/>
    <x v="0"/>
    <x v="1"/>
    <x v="117"/>
    <d v="2010-06-09T19:00:00"/>
    <x v="64"/>
    <x v="7"/>
  </r>
  <r>
    <x v="118"/>
    <s v="DENOUNCED - A Short Film"/>
    <s v="When a ruthless hit-man is 'denounced' from the mafia, his old enemies declare war."/>
    <x v="10"/>
    <x v="113"/>
    <x v="0"/>
    <x v="0"/>
    <s v="USD"/>
    <n v="1311902236"/>
    <x v="118"/>
    <x v="0"/>
    <n v="39"/>
    <x v="0"/>
    <s v="film &amp; video/shorts"/>
    <n v="113"/>
    <n v="144.91"/>
    <x v="0"/>
    <x v="1"/>
    <x v="118"/>
    <d v="2011-07-29T01:17:16"/>
    <x v="1"/>
    <x v="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x v="0"/>
    <n v="37"/>
    <x v="0"/>
    <s v="film &amp; video/shorts"/>
    <n v="105"/>
    <n v="91.84"/>
    <x v="0"/>
    <x v="1"/>
    <x v="119"/>
    <d v="2011-08-13T23:00:00"/>
    <x v="65"/>
    <x v="6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x v="0"/>
    <n v="1"/>
    <x v="1"/>
    <s v="film &amp; video/science fiction"/>
    <n v="0"/>
    <n v="10"/>
    <x v="0"/>
    <x v="2"/>
    <x v="120"/>
    <d v="2016-10-03T01:11:47"/>
    <x v="1"/>
    <x v="2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x v="0"/>
    <n v="1"/>
    <x v="1"/>
    <s v="film &amp; video/science fiction"/>
    <n v="0"/>
    <n v="1"/>
    <x v="0"/>
    <x v="2"/>
    <x v="121"/>
    <d v="2015-04-18T10:16:00"/>
    <x v="66"/>
    <x v="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x v="0"/>
    <n v="0"/>
    <x v="1"/>
    <s v="film &amp; video/science fiction"/>
    <n v="0"/>
    <n v="0"/>
    <x v="0"/>
    <x v="2"/>
    <x v="122"/>
    <d v="2016-10-10T10:21:47"/>
    <x v="14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x v="0"/>
    <n v="6"/>
    <x v="1"/>
    <s v="film &amp; video/science fiction"/>
    <n v="0"/>
    <n v="25.17"/>
    <x v="0"/>
    <x v="2"/>
    <x v="123"/>
    <d v="2014-10-28T22:00:00"/>
    <x v="67"/>
    <x v="3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x v="0"/>
    <n v="0"/>
    <x v="1"/>
    <s v="film &amp; video/science fiction"/>
    <n v="0"/>
    <n v="0"/>
    <x v="0"/>
    <x v="2"/>
    <x v="124"/>
    <d v="2015-05-15T22:17:22"/>
    <x v="36"/>
    <x v="0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x v="0"/>
    <n v="6"/>
    <x v="1"/>
    <s v="film &amp; video/science fiction"/>
    <n v="14"/>
    <n v="11.67"/>
    <x v="0"/>
    <x v="2"/>
    <x v="125"/>
    <d v="2017-02-03T23:51:20"/>
    <x v="14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x v="0"/>
    <n v="13"/>
    <x v="1"/>
    <s v="film &amp; video/science fiction"/>
    <n v="6"/>
    <n v="106.69"/>
    <x v="0"/>
    <x v="2"/>
    <x v="126"/>
    <d v="2015-06-11T02:00:00"/>
    <x v="68"/>
    <x v="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x v="0"/>
    <n v="4"/>
    <x v="1"/>
    <s v="film &amp; video/science fiction"/>
    <n v="2"/>
    <n v="47.5"/>
    <x v="0"/>
    <x v="2"/>
    <x v="127"/>
    <d v="2015-04-03T13:59:01"/>
    <x v="22"/>
    <x v="0"/>
  </r>
  <r>
    <x v="128"/>
    <s v="Ralphi3 (Canceled)"/>
    <s v="A Science Fiction film filled with entertainment and Excitement"/>
    <x v="57"/>
    <x v="122"/>
    <x v="1"/>
    <x v="0"/>
    <s v="USD"/>
    <n v="1476941293"/>
    <x v="128"/>
    <x v="0"/>
    <n v="6"/>
    <x v="1"/>
    <s v="film &amp; video/science fiction"/>
    <n v="2"/>
    <n v="311.17"/>
    <x v="0"/>
    <x v="2"/>
    <x v="128"/>
    <d v="2016-10-20T05:28:13"/>
    <x v="6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x v="0"/>
    <n v="0"/>
    <x v="1"/>
    <s v="film &amp; video/science fiction"/>
    <n v="0"/>
    <n v="0"/>
    <x v="0"/>
    <x v="2"/>
    <x v="129"/>
    <d v="2014-10-30T22:29:43"/>
    <x v="14"/>
    <x v="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x v="0"/>
    <n v="0"/>
    <x v="1"/>
    <s v="film &amp; video/science fiction"/>
    <n v="0"/>
    <n v="0"/>
    <x v="0"/>
    <x v="2"/>
    <x v="130"/>
    <d v="2014-06-16T20:16:00"/>
    <x v="69"/>
    <x v="3"/>
  </r>
  <r>
    <x v="131"/>
    <s v="I (Canceled)"/>
    <s v="I"/>
    <x v="38"/>
    <x v="117"/>
    <x v="1"/>
    <x v="0"/>
    <s v="USD"/>
    <n v="1467763200"/>
    <x v="131"/>
    <x v="0"/>
    <n v="0"/>
    <x v="1"/>
    <s v="film &amp; video/science fiction"/>
    <n v="0"/>
    <n v="0"/>
    <x v="0"/>
    <x v="2"/>
    <x v="131"/>
    <d v="2016-07-06T00:00:00"/>
    <x v="7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x v="0"/>
    <n v="81"/>
    <x v="1"/>
    <s v="film &amp; video/science fiction"/>
    <n v="10"/>
    <n v="94.51"/>
    <x v="0"/>
    <x v="2"/>
    <x v="132"/>
    <d v="2014-11-07T20:30:07"/>
    <x v="71"/>
    <x v="3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x v="0"/>
    <n v="0"/>
    <x v="1"/>
    <s v="film &amp; video/science fiction"/>
    <n v="0"/>
    <n v="0"/>
    <x v="0"/>
    <x v="2"/>
    <x v="133"/>
    <d v="2016-05-31T17:31:00"/>
    <x v="72"/>
    <x v="2"/>
  </r>
  <r>
    <x v="134"/>
    <s v="MARLEY'S GHOST (AMBASSADORS OF STEAM) (Canceled)"/>
    <s v="steampunk  remake of &quot;a Christmas carol&quot;"/>
    <x v="10"/>
    <x v="117"/>
    <x v="1"/>
    <x v="0"/>
    <s v="USD"/>
    <n v="1441386000"/>
    <x v="134"/>
    <x v="0"/>
    <n v="0"/>
    <x v="1"/>
    <s v="film &amp; video/science fiction"/>
    <n v="0"/>
    <n v="0"/>
    <x v="0"/>
    <x v="2"/>
    <x v="134"/>
    <d v="2015-09-04T17:00:00"/>
    <x v="73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x v="0"/>
    <n v="5"/>
    <x v="1"/>
    <s v="film &amp; video/science fiction"/>
    <n v="13"/>
    <n v="80.599999999999994"/>
    <x v="0"/>
    <x v="2"/>
    <x v="135"/>
    <d v="2014-07-01T19:00:00"/>
    <x v="74"/>
    <x v="3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x v="0"/>
    <n v="0"/>
    <x v="1"/>
    <s v="film &amp; video/science fiction"/>
    <n v="0"/>
    <n v="0"/>
    <x v="0"/>
    <x v="2"/>
    <x v="136"/>
    <d v="2015-05-16T10:16:00"/>
    <x v="75"/>
    <x v="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x v="0"/>
    <n v="0"/>
    <x v="1"/>
    <s v="film &amp; video/science fiction"/>
    <n v="0"/>
    <n v="0"/>
    <x v="0"/>
    <x v="2"/>
    <x v="137"/>
    <d v="2015-10-12T13:46:33"/>
    <x v="76"/>
    <x v="0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x v="0"/>
    <n v="58"/>
    <x v="1"/>
    <s v="film &amp; video/science fiction"/>
    <n v="3"/>
    <n v="81.239999999999995"/>
    <x v="0"/>
    <x v="2"/>
    <x v="138"/>
    <d v="2015-08-01T04:59:00"/>
    <x v="77"/>
    <x v="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x v="0"/>
    <n v="1"/>
    <x v="1"/>
    <s v="film &amp; video/science fiction"/>
    <n v="100"/>
    <n v="500"/>
    <x v="0"/>
    <x v="2"/>
    <x v="139"/>
    <d v="2015-07-12T22:06:12"/>
    <x v="2"/>
    <x v="0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x v="0"/>
    <n v="0"/>
    <x v="1"/>
    <s v="film &amp; video/science fiction"/>
    <n v="0"/>
    <n v="0"/>
    <x v="0"/>
    <x v="2"/>
    <x v="140"/>
    <d v="2015-03-20T03:45:32"/>
    <x v="22"/>
    <x v="0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x v="0"/>
    <n v="28"/>
    <x v="1"/>
    <s v="film &amp; video/science fiction"/>
    <n v="11"/>
    <n v="46.18"/>
    <x v="0"/>
    <x v="2"/>
    <x v="141"/>
    <d v="2015-05-31T03:40:23"/>
    <x v="26"/>
    <x v="0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x v="0"/>
    <n v="1"/>
    <x v="1"/>
    <s v="film &amp; video/science fiction"/>
    <n v="0"/>
    <n v="10"/>
    <x v="0"/>
    <x v="2"/>
    <x v="142"/>
    <d v="2014-11-16T22:26:18"/>
    <x v="78"/>
    <x v="3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x v="0"/>
    <n v="0"/>
    <x v="1"/>
    <s v="film &amp; video/science fiction"/>
    <n v="0"/>
    <n v="0"/>
    <x v="0"/>
    <x v="2"/>
    <x v="143"/>
    <d v="2016-09-03T05:55:00"/>
    <x v="79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x v="0"/>
    <n v="37"/>
    <x v="1"/>
    <s v="film &amp; video/science fiction"/>
    <n v="28"/>
    <n v="55.95"/>
    <x v="0"/>
    <x v="2"/>
    <x v="144"/>
    <d v="2015-04-13T17:17:52"/>
    <x v="80"/>
    <x v="0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x v="0"/>
    <n v="9"/>
    <x v="1"/>
    <s v="film &amp; video/science fiction"/>
    <n v="8"/>
    <n v="37.56"/>
    <x v="0"/>
    <x v="2"/>
    <x v="145"/>
    <d v="2015-08-11T13:00:52"/>
    <x v="81"/>
    <x v="0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x v="0"/>
    <n v="3"/>
    <x v="1"/>
    <s v="film &amp; video/science fiction"/>
    <n v="1"/>
    <n v="38.33"/>
    <x v="0"/>
    <x v="2"/>
    <x v="146"/>
    <d v="2017-01-18T00:23:18"/>
    <x v="14"/>
    <x v="2"/>
  </r>
  <r>
    <x v="147"/>
    <s v="Consumed (Static Air) (Canceled)"/>
    <s v="Film makers catch live footage beyond their wildest dreams."/>
    <x v="39"/>
    <x v="117"/>
    <x v="1"/>
    <x v="1"/>
    <s v="GBP"/>
    <n v="1420741080"/>
    <x v="147"/>
    <x v="0"/>
    <n v="0"/>
    <x v="1"/>
    <s v="film &amp; video/science fiction"/>
    <n v="0"/>
    <n v="0"/>
    <x v="0"/>
    <x v="2"/>
    <x v="147"/>
    <d v="2015-01-08T18:18:00"/>
    <x v="82"/>
    <x v="3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x v="0"/>
    <n v="2"/>
    <x v="1"/>
    <s v="film &amp; video/science fiction"/>
    <n v="0"/>
    <n v="20"/>
    <x v="0"/>
    <x v="2"/>
    <x v="148"/>
    <d v="2016-02-27T06:45:36"/>
    <x v="1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x v="0"/>
    <n v="6"/>
    <x v="1"/>
    <s v="film &amp; video/science fiction"/>
    <n v="1"/>
    <n v="15.33"/>
    <x v="0"/>
    <x v="2"/>
    <x v="149"/>
    <d v="2014-12-25T08:00:00"/>
    <x v="83"/>
    <x v="3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x v="0"/>
    <n v="67"/>
    <x v="1"/>
    <s v="film &amp; video/science fiction"/>
    <n v="23"/>
    <n v="449.43"/>
    <x v="0"/>
    <x v="2"/>
    <x v="150"/>
    <d v="2015-05-26T03:53:02"/>
    <x v="14"/>
    <x v="0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x v="0"/>
    <n v="5"/>
    <x v="1"/>
    <s v="film &amp; video/science fiction"/>
    <n v="0"/>
    <n v="28"/>
    <x v="0"/>
    <x v="2"/>
    <x v="151"/>
    <d v="2015-06-18T13:13:11"/>
    <x v="14"/>
    <x v="0"/>
  </r>
  <r>
    <x v="152"/>
    <s v="The Great Dark (Canceled)"/>
    <s v="The Great Dark is a journey through the unimaginable...and un foreseeable..."/>
    <x v="66"/>
    <x v="134"/>
    <x v="1"/>
    <x v="0"/>
    <s v="USD"/>
    <n v="1411437100"/>
    <x v="152"/>
    <x v="0"/>
    <n v="2"/>
    <x v="1"/>
    <s v="film &amp; video/science fiction"/>
    <n v="0"/>
    <n v="15"/>
    <x v="0"/>
    <x v="2"/>
    <x v="152"/>
    <d v="2014-09-23T01:51:40"/>
    <x v="1"/>
    <x v="3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x v="0"/>
    <n v="10"/>
    <x v="1"/>
    <s v="film &amp; video/science fiction"/>
    <n v="1"/>
    <n v="35.9"/>
    <x v="0"/>
    <x v="2"/>
    <x v="153"/>
    <d v="2014-12-02T15:04:04"/>
    <x v="84"/>
    <x v="3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x v="0"/>
    <n v="3"/>
    <x v="1"/>
    <s v="film &amp; video/science fiction"/>
    <n v="3"/>
    <n v="13.33"/>
    <x v="0"/>
    <x v="2"/>
    <x v="154"/>
    <d v="2015-06-03T13:08:15"/>
    <x v="85"/>
    <x v="0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x v="0"/>
    <n v="4"/>
    <x v="1"/>
    <s v="film &amp; video/science fiction"/>
    <n v="0"/>
    <n v="20.25"/>
    <x v="0"/>
    <x v="2"/>
    <x v="155"/>
    <d v="2015-07-23T13:25:35"/>
    <x v="4"/>
    <x v="0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x v="0"/>
    <n v="15"/>
    <x v="1"/>
    <s v="film &amp; video/science fiction"/>
    <n v="5"/>
    <n v="119"/>
    <x v="0"/>
    <x v="2"/>
    <x v="156"/>
    <d v="2014-08-03T02:59:56"/>
    <x v="14"/>
    <x v="3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x v="0"/>
    <n v="2"/>
    <x v="1"/>
    <s v="film &amp; video/science fiction"/>
    <n v="0"/>
    <n v="4"/>
    <x v="0"/>
    <x v="2"/>
    <x v="157"/>
    <d v="2016-02-26T21:52:52"/>
    <x v="1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x v="0"/>
    <n v="0"/>
    <x v="1"/>
    <s v="film &amp; video/science fiction"/>
    <n v="0"/>
    <n v="0"/>
    <x v="0"/>
    <x v="2"/>
    <x v="158"/>
    <d v="2014-10-22T01:50:28"/>
    <x v="1"/>
    <x v="3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x v="0"/>
    <n v="1"/>
    <x v="1"/>
    <s v="film &amp; video/science fiction"/>
    <n v="0"/>
    <n v="10"/>
    <x v="0"/>
    <x v="2"/>
    <x v="159"/>
    <d v="2016-07-03T10:25:45"/>
    <x v="4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x v="0"/>
    <n v="0"/>
    <x v="1"/>
    <s v="film &amp; video/drama"/>
    <n v="0"/>
    <n v="0"/>
    <x v="0"/>
    <x v="3"/>
    <x v="160"/>
    <d v="2015-08-15T21:54:51"/>
    <x v="14"/>
    <x v="0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x v="0"/>
    <n v="1"/>
    <x v="1"/>
    <s v="film &amp; video/drama"/>
    <n v="0"/>
    <n v="5"/>
    <x v="0"/>
    <x v="3"/>
    <x v="161"/>
    <d v="2014-07-02T16:29:55"/>
    <x v="1"/>
    <x v="3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x v="0"/>
    <n v="10"/>
    <x v="1"/>
    <s v="film &amp; video/drama"/>
    <n v="16"/>
    <n v="43.5"/>
    <x v="0"/>
    <x v="3"/>
    <x v="162"/>
    <d v="2014-08-16T23:42:00"/>
    <x v="86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x v="0"/>
    <n v="0"/>
    <x v="1"/>
    <s v="film &amp; video/drama"/>
    <n v="0"/>
    <n v="0"/>
    <x v="0"/>
    <x v="3"/>
    <x v="163"/>
    <d v="2015-10-01T00:00:00"/>
    <x v="87"/>
    <x v="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x v="0"/>
    <n v="7"/>
    <x v="1"/>
    <s v="film &amp; video/drama"/>
    <n v="1"/>
    <n v="91.43"/>
    <x v="0"/>
    <x v="3"/>
    <x v="164"/>
    <d v="2014-09-19T18:18:21"/>
    <x v="14"/>
    <x v="3"/>
  </r>
  <r>
    <x v="165"/>
    <s v="NET"/>
    <s v="A teacher. A boy. The beach and a heatwave that drove them all insane."/>
    <x v="73"/>
    <x v="117"/>
    <x v="2"/>
    <x v="1"/>
    <s v="GBP"/>
    <n v="1452613724"/>
    <x v="165"/>
    <x v="0"/>
    <n v="0"/>
    <x v="1"/>
    <s v="film &amp; video/drama"/>
    <n v="0"/>
    <n v="0"/>
    <x v="0"/>
    <x v="3"/>
    <x v="165"/>
    <d v="2016-01-12T15:48:44"/>
    <x v="1"/>
    <x v="0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x v="0"/>
    <n v="1"/>
    <x v="1"/>
    <s v="film &amp; video/drama"/>
    <n v="60"/>
    <n v="3000"/>
    <x v="0"/>
    <x v="3"/>
    <x v="166"/>
    <d v="2017-01-16T01:49:22"/>
    <x v="1"/>
    <x v="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x v="0"/>
    <n v="2"/>
    <x v="1"/>
    <s v="film &amp; video/drama"/>
    <n v="0"/>
    <n v="5.5"/>
    <x v="0"/>
    <x v="3"/>
    <x v="167"/>
    <d v="2015-08-04T22:15:35"/>
    <x v="14"/>
    <x v="0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x v="0"/>
    <n v="3"/>
    <x v="1"/>
    <s v="film &amp; video/drama"/>
    <n v="4"/>
    <n v="108.33"/>
    <x v="0"/>
    <x v="3"/>
    <x v="168"/>
    <d v="2015-03-19T19:02:50"/>
    <x v="22"/>
    <x v="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x v="0"/>
    <n v="10"/>
    <x v="1"/>
    <s v="film &amp; video/drama"/>
    <n v="22"/>
    <n v="56"/>
    <x v="0"/>
    <x v="3"/>
    <x v="169"/>
    <d v="2014-10-18T12:07:39"/>
    <x v="1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x v="0"/>
    <n v="10"/>
    <x v="1"/>
    <s v="film &amp; video/drama"/>
    <n v="3"/>
    <n v="32.5"/>
    <x v="0"/>
    <x v="3"/>
    <x v="170"/>
    <d v="2015-08-30T05:28:00"/>
    <x v="88"/>
    <x v="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x v="0"/>
    <n v="1"/>
    <x v="1"/>
    <s v="film &amp; video/drama"/>
    <n v="0"/>
    <n v="1"/>
    <x v="0"/>
    <x v="3"/>
    <x v="171"/>
    <d v="2016-08-12T04:20:14"/>
    <x v="14"/>
    <x v="2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x v="0"/>
    <n v="0"/>
    <x v="1"/>
    <s v="film &amp; video/drama"/>
    <n v="0"/>
    <n v="0"/>
    <x v="0"/>
    <x v="3"/>
    <x v="172"/>
    <d v="2015-03-19T08:28:43"/>
    <x v="89"/>
    <x v="0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x v="0"/>
    <n v="0"/>
    <x v="1"/>
    <s v="film &amp; video/drama"/>
    <n v="0"/>
    <n v="0"/>
    <x v="0"/>
    <x v="3"/>
    <x v="173"/>
    <d v="2015-02-28T13:45:08"/>
    <x v="1"/>
    <x v="0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x v="0"/>
    <n v="0"/>
    <x v="1"/>
    <s v="film &amp; video/drama"/>
    <n v="0"/>
    <n v="0"/>
    <x v="0"/>
    <x v="3"/>
    <x v="174"/>
    <d v="2015-05-08T18:12:56"/>
    <x v="14"/>
    <x v="0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x v="0"/>
    <n v="26"/>
    <x v="1"/>
    <s v="film &amp; video/drama"/>
    <n v="6"/>
    <n v="49.88"/>
    <x v="0"/>
    <x v="3"/>
    <x v="175"/>
    <d v="2014-08-29T18:40:11"/>
    <x v="36"/>
    <x v="3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x v="0"/>
    <n v="0"/>
    <x v="1"/>
    <s v="film &amp; video/drama"/>
    <n v="0"/>
    <n v="0"/>
    <x v="0"/>
    <x v="3"/>
    <x v="176"/>
    <d v="2015-08-05T19:46:39"/>
    <x v="1"/>
    <x v="0"/>
  </r>
  <r>
    <x v="177"/>
    <s v="The Good Samaritan"/>
    <s v="I'm making a modern day version of the bible story &quot; The Good Samaritan&quot;"/>
    <x v="52"/>
    <x v="147"/>
    <x v="2"/>
    <x v="0"/>
    <s v="USD"/>
    <n v="1427155726"/>
    <x v="177"/>
    <x v="0"/>
    <n v="7"/>
    <x v="1"/>
    <s v="film &amp; video/drama"/>
    <n v="40"/>
    <n v="25.71"/>
    <x v="0"/>
    <x v="3"/>
    <x v="177"/>
    <d v="2015-03-24T00:08:46"/>
    <x v="90"/>
    <x v="0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x v="0"/>
    <n v="0"/>
    <x v="1"/>
    <s v="film &amp; video/drama"/>
    <n v="0"/>
    <n v="0"/>
    <x v="0"/>
    <x v="3"/>
    <x v="178"/>
    <d v="2015-11-26T23:55:45"/>
    <x v="13"/>
    <x v="0"/>
  </r>
  <r>
    <x v="179"/>
    <s v="Sustain: A Film About Survival"/>
    <s v="A feature-length film about how three people survive in a diseased world."/>
    <x v="28"/>
    <x v="148"/>
    <x v="2"/>
    <x v="0"/>
    <s v="USD"/>
    <n v="1457056555"/>
    <x v="179"/>
    <x v="0"/>
    <n v="2"/>
    <x v="1"/>
    <s v="film &amp; video/drama"/>
    <n v="20"/>
    <n v="100"/>
    <x v="0"/>
    <x v="3"/>
    <x v="179"/>
    <d v="2016-03-04T01:55:55"/>
    <x v="1"/>
    <x v="2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x v="0"/>
    <n v="13"/>
    <x v="1"/>
    <s v="film &amp; video/drama"/>
    <n v="33"/>
    <n v="30.85"/>
    <x v="0"/>
    <x v="3"/>
    <x v="180"/>
    <d v="2015-04-13T19:00:00"/>
    <x v="91"/>
    <x v="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x v="0"/>
    <n v="4"/>
    <x v="1"/>
    <s v="film &amp; video/drama"/>
    <n v="21"/>
    <n v="180.5"/>
    <x v="0"/>
    <x v="3"/>
    <x v="181"/>
    <d v="2015-06-22T17:48:15"/>
    <x v="1"/>
    <x v="0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x v="0"/>
    <n v="0"/>
    <x v="1"/>
    <s v="film &amp; video/drama"/>
    <n v="0"/>
    <n v="0"/>
    <x v="0"/>
    <x v="3"/>
    <x v="182"/>
    <d v="2017-01-07T00:17:12"/>
    <x v="1"/>
    <x v="2"/>
  </r>
  <r>
    <x v="183"/>
    <s v="Three Little Words"/>
    <s v="Don't kill me until I meet my Dad"/>
    <x v="78"/>
    <x v="151"/>
    <x v="2"/>
    <x v="1"/>
    <s v="GBP"/>
    <n v="1417033610"/>
    <x v="183"/>
    <x v="0"/>
    <n v="12"/>
    <x v="1"/>
    <s v="film &amp; video/drama"/>
    <n v="36"/>
    <n v="373.5"/>
    <x v="0"/>
    <x v="3"/>
    <x v="183"/>
    <d v="2014-11-26T20:26:50"/>
    <x v="13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x v="0"/>
    <n v="2"/>
    <x v="1"/>
    <s v="film &amp; video/drama"/>
    <n v="3"/>
    <n v="25.5"/>
    <x v="0"/>
    <x v="3"/>
    <x v="184"/>
    <d v="2014-09-01T03:59:00"/>
    <x v="92"/>
    <x v="3"/>
  </r>
  <r>
    <x v="185"/>
    <s v="BLANK Short Movie"/>
    <s v="Love has no boundaries!"/>
    <x v="79"/>
    <x v="153"/>
    <x v="2"/>
    <x v="10"/>
    <s v="NOK"/>
    <n v="1471557139"/>
    <x v="185"/>
    <x v="0"/>
    <n v="10"/>
    <x v="1"/>
    <s v="film &amp; video/drama"/>
    <n v="6"/>
    <n v="220"/>
    <x v="0"/>
    <x v="3"/>
    <x v="185"/>
    <d v="2016-08-18T21:52:19"/>
    <x v="1"/>
    <x v="2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x v="0"/>
    <n v="0"/>
    <x v="1"/>
    <s v="film &amp; video/drama"/>
    <n v="0"/>
    <n v="0"/>
    <x v="0"/>
    <x v="3"/>
    <x v="186"/>
    <d v="2017-03-03T20:00:00"/>
    <x v="93"/>
    <x v="1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x v="0"/>
    <n v="5"/>
    <x v="1"/>
    <s v="film &amp; video/drama"/>
    <n v="16"/>
    <n v="160"/>
    <x v="0"/>
    <x v="3"/>
    <x v="187"/>
    <d v="2015-07-21T06:59:00"/>
    <x v="94"/>
    <x v="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x v="0"/>
    <n v="0"/>
    <x v="1"/>
    <s v="film &amp; video/drama"/>
    <n v="0"/>
    <n v="0"/>
    <x v="0"/>
    <x v="3"/>
    <x v="188"/>
    <d v="2014-09-05T04:23:35"/>
    <x v="1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x v="0"/>
    <n v="5"/>
    <x v="1"/>
    <s v="film &amp; video/drama"/>
    <n v="0"/>
    <n v="69"/>
    <x v="0"/>
    <x v="3"/>
    <x v="189"/>
    <d v="2016-09-03T16:34:37"/>
    <x v="14"/>
    <x v="2"/>
  </r>
  <r>
    <x v="190"/>
    <s v="REGIONRAT, the movie"/>
    <s v="Because hope can be a 4 letter word"/>
    <x v="14"/>
    <x v="155"/>
    <x v="2"/>
    <x v="0"/>
    <s v="USD"/>
    <n v="1466091446"/>
    <x v="190"/>
    <x v="0"/>
    <n v="1"/>
    <x v="1"/>
    <s v="film &amp; video/drama"/>
    <n v="0"/>
    <n v="50"/>
    <x v="0"/>
    <x v="3"/>
    <x v="190"/>
    <d v="2016-06-16T15:37:26"/>
    <x v="2"/>
    <x v="2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x v="0"/>
    <n v="3"/>
    <x v="1"/>
    <s v="film &amp; video/drama"/>
    <n v="5"/>
    <n v="83.33"/>
    <x v="0"/>
    <x v="3"/>
    <x v="191"/>
    <d v="2015-10-02T10:35:38"/>
    <x v="4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x v="0"/>
    <n v="3"/>
    <x v="1"/>
    <s v="film &amp; video/drama"/>
    <n v="0"/>
    <n v="5.67"/>
    <x v="0"/>
    <x v="3"/>
    <x v="192"/>
    <d v="2014-10-17T19:00:32"/>
    <x v="1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x v="0"/>
    <n v="0"/>
    <x v="1"/>
    <s v="film &amp; video/drama"/>
    <n v="0"/>
    <n v="0"/>
    <x v="0"/>
    <x v="3"/>
    <x v="193"/>
    <d v="2014-11-28T23:26:06"/>
    <x v="27"/>
    <x v="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x v="0"/>
    <n v="3"/>
    <x v="1"/>
    <s v="film &amp; video/drama"/>
    <n v="0"/>
    <n v="1"/>
    <x v="0"/>
    <x v="3"/>
    <x v="194"/>
    <d v="2016-03-06T23:55:31"/>
    <x v="14"/>
    <x v="2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x v="0"/>
    <n v="0"/>
    <x v="1"/>
    <s v="film &amp; video/drama"/>
    <n v="0"/>
    <n v="0"/>
    <x v="0"/>
    <x v="3"/>
    <x v="195"/>
    <d v="2015-07-10T16:05:32"/>
    <x v="14"/>
    <x v="0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x v="0"/>
    <n v="19"/>
    <x v="1"/>
    <s v="film &amp; video/drama"/>
    <n v="42"/>
    <n v="77.11"/>
    <x v="0"/>
    <x v="3"/>
    <x v="196"/>
    <d v="2015-10-10T21:00:00"/>
    <x v="95"/>
    <x v="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x v="0"/>
    <n v="8"/>
    <x v="1"/>
    <s v="film &amp; video/drama"/>
    <n v="10"/>
    <n v="32.75"/>
    <x v="0"/>
    <x v="3"/>
    <x v="197"/>
    <d v="2017-02-17T21:00:00"/>
    <x v="96"/>
    <x v="1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x v="0"/>
    <n v="6"/>
    <x v="1"/>
    <s v="film &amp; video/drama"/>
    <n v="1"/>
    <n v="46.5"/>
    <x v="0"/>
    <x v="3"/>
    <x v="198"/>
    <d v="2014-10-05T09:12:02"/>
    <x v="1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x v="0"/>
    <n v="0"/>
    <x v="1"/>
    <s v="film &amp; video/drama"/>
    <n v="0"/>
    <n v="0"/>
    <x v="0"/>
    <x v="3"/>
    <x v="199"/>
    <d v="2016-09-01T02:58:22"/>
    <x v="1"/>
    <x v="2"/>
  </r>
  <r>
    <x v="200"/>
    <s v="The Crossing Shore"/>
    <s v="A film dedicated to an AAF Pilot's struggle to survive behind enemy lines during WWII."/>
    <x v="12"/>
    <x v="162"/>
    <x v="2"/>
    <x v="0"/>
    <s v="USD"/>
    <n v="1410746403"/>
    <x v="200"/>
    <x v="0"/>
    <n v="18"/>
    <x v="1"/>
    <s v="film &amp; video/drama"/>
    <n v="26"/>
    <n v="87.31"/>
    <x v="0"/>
    <x v="3"/>
    <x v="200"/>
    <d v="2014-09-15T02:00:03"/>
    <x v="1"/>
    <x v="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x v="0"/>
    <n v="7"/>
    <x v="1"/>
    <s v="film &amp; video/drama"/>
    <n v="58"/>
    <n v="54.29"/>
    <x v="0"/>
    <x v="3"/>
    <x v="201"/>
    <d v="2015-02-08T19:38:49"/>
    <x v="51"/>
    <x v="0"/>
  </r>
  <r>
    <x v="202"/>
    <s v="Modern Gangsters"/>
    <s v="new web series created by jonney terry"/>
    <x v="12"/>
    <x v="117"/>
    <x v="2"/>
    <x v="0"/>
    <s v="USD"/>
    <n v="1444337940"/>
    <x v="202"/>
    <x v="0"/>
    <n v="0"/>
    <x v="1"/>
    <s v="film &amp; video/drama"/>
    <n v="0"/>
    <n v="0"/>
    <x v="0"/>
    <x v="3"/>
    <x v="202"/>
    <d v="2015-10-08T20:59:00"/>
    <x v="97"/>
    <x v="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x v="0"/>
    <n v="8"/>
    <x v="1"/>
    <s v="film &amp; video/drama"/>
    <n v="30"/>
    <n v="93.25"/>
    <x v="0"/>
    <x v="3"/>
    <x v="203"/>
    <d v="2015-01-29T20:21:04"/>
    <x v="14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x v="0"/>
    <n v="1293"/>
    <x v="1"/>
    <s v="film &amp; video/drama"/>
    <n v="51"/>
    <n v="117.68"/>
    <x v="0"/>
    <x v="3"/>
    <x v="204"/>
    <d v="2016-08-04T14:00:03"/>
    <x v="1"/>
    <x v="2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x v="0"/>
    <n v="17"/>
    <x v="1"/>
    <s v="film &amp; video/drama"/>
    <n v="16"/>
    <n v="76.47"/>
    <x v="0"/>
    <x v="3"/>
    <x v="205"/>
    <d v="2015-10-06T15:10:22"/>
    <x v="6"/>
    <x v="0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x v="206"/>
    <x v="0"/>
    <n v="0"/>
    <x v="1"/>
    <s v="film &amp; video/drama"/>
    <n v="0"/>
    <n v="0"/>
    <x v="0"/>
    <x v="3"/>
    <x v="206"/>
    <d v="2016-08-06T00:06:23"/>
    <x v="31"/>
    <x v="2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x v="0"/>
    <n v="13"/>
    <x v="1"/>
    <s v="film &amp; video/drama"/>
    <n v="15"/>
    <n v="163.85"/>
    <x v="0"/>
    <x v="3"/>
    <x v="207"/>
    <d v="2015-01-04T04:43:58"/>
    <x v="1"/>
    <x v="3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x v="0"/>
    <n v="0"/>
    <x v="1"/>
    <s v="film &amp; video/drama"/>
    <n v="0"/>
    <n v="0"/>
    <x v="0"/>
    <x v="3"/>
    <x v="208"/>
    <d v="2014-12-16T08:52:47"/>
    <x v="1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x v="0"/>
    <n v="0"/>
    <x v="1"/>
    <s v="film &amp; video/drama"/>
    <n v="0"/>
    <n v="0"/>
    <x v="0"/>
    <x v="3"/>
    <x v="209"/>
    <d v="2015-07-10T22:08:55"/>
    <x v="1"/>
    <x v="0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x v="0"/>
    <n v="33"/>
    <x v="1"/>
    <s v="film &amp; video/drama"/>
    <n v="25"/>
    <n v="91.82"/>
    <x v="0"/>
    <x v="3"/>
    <x v="210"/>
    <d v="2015-10-01T05:00:00"/>
    <x v="98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x v="0"/>
    <n v="12"/>
    <x v="1"/>
    <s v="film &amp; video/drama"/>
    <n v="45"/>
    <n v="185.83"/>
    <x v="0"/>
    <x v="3"/>
    <x v="211"/>
    <d v="2015-09-19T03:50:17"/>
    <x v="1"/>
    <x v="0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x v="0"/>
    <n v="1"/>
    <x v="1"/>
    <s v="film &amp; video/drama"/>
    <n v="0"/>
    <n v="1"/>
    <x v="0"/>
    <x v="3"/>
    <x v="212"/>
    <d v="2016-04-16T20:08:40"/>
    <x v="80"/>
    <x v="2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x v="0"/>
    <n v="1"/>
    <x v="1"/>
    <s v="film &amp; video/drama"/>
    <n v="0"/>
    <n v="20"/>
    <x v="0"/>
    <x v="3"/>
    <x v="213"/>
    <d v="2015-08-16T14:06:41"/>
    <x v="99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x v="0"/>
    <n v="1"/>
    <x v="1"/>
    <s v="film &amp; video/drama"/>
    <n v="0"/>
    <n v="1"/>
    <x v="0"/>
    <x v="3"/>
    <x v="214"/>
    <d v="2015-03-06T15:22:29"/>
    <x v="14"/>
    <x v="0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x v="0"/>
    <n v="1"/>
    <x v="1"/>
    <s v="film &amp; video/drama"/>
    <n v="0"/>
    <n v="10"/>
    <x v="0"/>
    <x v="3"/>
    <x v="215"/>
    <d v="2016-02-17T23:59:00"/>
    <x v="100"/>
    <x v="2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x v="0"/>
    <n v="84"/>
    <x v="1"/>
    <s v="film &amp; video/drama"/>
    <n v="56"/>
    <n v="331.54"/>
    <x v="0"/>
    <x v="3"/>
    <x v="216"/>
    <d v="2015-04-22T22:00:37"/>
    <x v="101"/>
    <x v="0"/>
  </r>
  <r>
    <x v="217"/>
    <s v="Bitch"/>
    <s v="A roadmovie by paw"/>
    <x v="57"/>
    <x v="172"/>
    <x v="2"/>
    <x v="11"/>
    <s v="SEK"/>
    <n v="1419780149"/>
    <x v="217"/>
    <x v="0"/>
    <n v="38"/>
    <x v="1"/>
    <s v="film &amp; video/drama"/>
    <n v="12"/>
    <n v="314.29000000000002"/>
    <x v="0"/>
    <x v="3"/>
    <x v="217"/>
    <d v="2014-12-28T15:22:29"/>
    <x v="102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x v="0"/>
    <n v="1"/>
    <x v="1"/>
    <s v="film &amp; video/drama"/>
    <n v="2"/>
    <n v="100"/>
    <x v="0"/>
    <x v="3"/>
    <x v="218"/>
    <d v="2015-05-15T15:04:49"/>
    <x v="14"/>
    <x v="0"/>
  </r>
  <r>
    <x v="219"/>
    <s v="True Colors"/>
    <s v="An hour-long pilot about a group of suburban LGBT teens coming of age in the early 90's."/>
    <x v="63"/>
    <x v="174"/>
    <x v="2"/>
    <x v="0"/>
    <s v="USD"/>
    <n v="1459493940"/>
    <x v="219"/>
    <x v="0"/>
    <n v="76"/>
    <x v="1"/>
    <s v="film &amp; video/drama"/>
    <n v="18"/>
    <n v="115.99"/>
    <x v="0"/>
    <x v="3"/>
    <x v="219"/>
    <d v="2016-04-01T06:59:00"/>
    <x v="103"/>
    <x v="2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x v="0"/>
    <n v="3"/>
    <x v="1"/>
    <s v="film &amp; video/drama"/>
    <n v="1"/>
    <n v="120"/>
    <x v="0"/>
    <x v="3"/>
    <x v="220"/>
    <d v="2015-08-20T20:06:00"/>
    <x v="104"/>
    <x v="0"/>
  </r>
  <r>
    <x v="221"/>
    <s v="Archetypes"/>
    <s v="Film about Schizophrenia with Surreal Twists!"/>
    <x v="63"/>
    <x v="117"/>
    <x v="2"/>
    <x v="0"/>
    <s v="USD"/>
    <n v="1427569564"/>
    <x v="221"/>
    <x v="0"/>
    <n v="0"/>
    <x v="1"/>
    <s v="film &amp; video/drama"/>
    <n v="0"/>
    <n v="0"/>
    <x v="0"/>
    <x v="3"/>
    <x v="221"/>
    <d v="2015-03-28T19:06:04"/>
    <x v="80"/>
    <x v="0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x v="0"/>
    <n v="2"/>
    <x v="1"/>
    <s v="film &amp; video/drama"/>
    <n v="13"/>
    <n v="65"/>
    <x v="0"/>
    <x v="3"/>
    <x v="222"/>
    <d v="2015-03-27T02:39:00"/>
    <x v="105"/>
    <x v="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x v="0"/>
    <n v="0"/>
    <x v="1"/>
    <s v="film &amp; video/drama"/>
    <n v="0"/>
    <n v="0"/>
    <x v="0"/>
    <x v="3"/>
    <x v="223"/>
    <d v="2016-05-22T01:05:00"/>
    <x v="1"/>
    <x v="2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x v="0"/>
    <n v="0"/>
    <x v="1"/>
    <s v="film &amp; video/drama"/>
    <n v="0"/>
    <n v="0"/>
    <x v="0"/>
    <x v="3"/>
    <x v="224"/>
    <d v="2015-07-10T05:38:46"/>
    <x v="14"/>
    <x v="0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x v="0"/>
    <n v="0"/>
    <x v="1"/>
    <s v="film &amp; video/drama"/>
    <n v="0"/>
    <n v="0"/>
    <x v="0"/>
    <x v="3"/>
    <x v="225"/>
    <d v="2016-04-08T22:04:14"/>
    <x v="22"/>
    <x v="2"/>
  </r>
  <r>
    <x v="226"/>
    <s v="MAGGIE Film"/>
    <s v="A TRUE STORY OF DOMESTIC VILOLENCE THAT SEEKS TO OFFER THE VIEWER OUTLEST OF SUPPORT."/>
    <x v="88"/>
    <x v="156"/>
    <x v="2"/>
    <x v="1"/>
    <s v="GBP"/>
    <n v="1433064540"/>
    <x v="226"/>
    <x v="0"/>
    <n v="2"/>
    <x v="1"/>
    <s v="film &amp; video/drama"/>
    <n v="1"/>
    <n v="125"/>
    <x v="0"/>
    <x v="3"/>
    <x v="226"/>
    <d v="2015-05-31T09:29:00"/>
    <x v="106"/>
    <x v="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x v="0"/>
    <n v="0"/>
    <x v="1"/>
    <s v="film &amp; video/drama"/>
    <n v="0"/>
    <n v="0"/>
    <x v="0"/>
    <x v="3"/>
    <x v="227"/>
    <d v="2015-07-09T21:27:21"/>
    <x v="1"/>
    <x v="0"/>
  </r>
  <r>
    <x v="228"/>
    <s v="Facets of a Geek life"/>
    <s v="I am making a film from one one of my books called facets of a Geek life."/>
    <x v="6"/>
    <x v="117"/>
    <x v="2"/>
    <x v="1"/>
    <s v="GBP"/>
    <n v="1433176105"/>
    <x v="228"/>
    <x v="0"/>
    <n v="0"/>
    <x v="1"/>
    <s v="film &amp; video/drama"/>
    <n v="0"/>
    <n v="0"/>
    <x v="0"/>
    <x v="3"/>
    <x v="228"/>
    <d v="2015-06-01T16:28:25"/>
    <x v="14"/>
    <x v="0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x v="0"/>
    <n v="0"/>
    <x v="1"/>
    <s v="film &amp; video/drama"/>
    <n v="0"/>
    <n v="0"/>
    <x v="0"/>
    <x v="3"/>
    <x v="229"/>
    <d v="2016-02-13T22:24:57"/>
    <x v="1"/>
    <x v="2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x v="0"/>
    <n v="2"/>
    <x v="1"/>
    <s v="film &amp; video/drama"/>
    <n v="0"/>
    <n v="30"/>
    <x v="0"/>
    <x v="3"/>
    <x v="230"/>
    <d v="2015-06-04T18:39:11"/>
    <x v="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x v="0"/>
    <n v="0"/>
    <x v="1"/>
    <s v="film &amp; video/drama"/>
    <n v="0"/>
    <n v="0"/>
    <x v="0"/>
    <x v="3"/>
    <x v="231"/>
    <d v="2016-01-02T23:00:51"/>
    <x v="1"/>
    <x v="0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x v="0"/>
    <n v="7"/>
    <x v="1"/>
    <s v="film &amp; video/drama"/>
    <n v="3"/>
    <n v="15.71"/>
    <x v="0"/>
    <x v="3"/>
    <x v="232"/>
    <d v="2015-02-27T19:49:06"/>
    <x v="1"/>
    <x v="0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x v="0"/>
    <n v="0"/>
    <x v="1"/>
    <s v="film &amp; video/drama"/>
    <n v="0"/>
    <n v="0"/>
    <x v="0"/>
    <x v="3"/>
    <x v="233"/>
    <d v="2016-09-29T21:52:52"/>
    <x v="1"/>
    <x v="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x v="0"/>
    <n v="5"/>
    <x v="1"/>
    <s v="film &amp; video/drama"/>
    <n v="40"/>
    <n v="80.2"/>
    <x v="0"/>
    <x v="3"/>
    <x v="234"/>
    <d v="2015-06-21T00:50:59"/>
    <x v="4"/>
    <x v="0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x v="0"/>
    <n v="0"/>
    <x v="1"/>
    <s v="film &amp; video/drama"/>
    <n v="0"/>
    <n v="0"/>
    <x v="0"/>
    <x v="3"/>
    <x v="235"/>
    <d v="2015-07-09T21:48:17"/>
    <x v="1"/>
    <x v="0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x v="0"/>
    <n v="0"/>
    <x v="1"/>
    <s v="film &amp; video/drama"/>
    <n v="0"/>
    <n v="0"/>
    <x v="0"/>
    <x v="3"/>
    <x v="236"/>
    <d v="2016-01-05T00:00:00"/>
    <x v="107"/>
    <x v="0"/>
  </r>
  <r>
    <x v="237"/>
    <s v="Making The Choice"/>
    <s v="Making The Choice is a christian short film series."/>
    <x v="36"/>
    <x v="155"/>
    <x v="2"/>
    <x v="0"/>
    <s v="USD"/>
    <n v="1457445069"/>
    <x v="237"/>
    <x v="0"/>
    <n v="1"/>
    <x v="1"/>
    <s v="film &amp; video/drama"/>
    <n v="0"/>
    <n v="50"/>
    <x v="0"/>
    <x v="3"/>
    <x v="237"/>
    <d v="2016-03-08T13:51:09"/>
    <x v="14"/>
    <x v="2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x v="0"/>
    <n v="0"/>
    <x v="1"/>
    <s v="film &amp; video/drama"/>
    <n v="0"/>
    <n v="0"/>
    <x v="0"/>
    <x v="3"/>
    <x v="238"/>
    <d v="2016-12-30T09:00:00"/>
    <x v="108"/>
    <x v="2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x v="0"/>
    <n v="5"/>
    <x v="1"/>
    <s v="film &amp; video/drama"/>
    <n v="25"/>
    <n v="50"/>
    <x v="0"/>
    <x v="3"/>
    <x v="239"/>
    <d v="2015-11-08T12:00:00"/>
    <x v="109"/>
    <x v="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x v="1"/>
    <n v="137"/>
    <x v="0"/>
    <s v="film &amp; video/documentary"/>
    <n v="108"/>
    <n v="117.85"/>
    <x v="0"/>
    <x v="4"/>
    <x v="240"/>
    <d v="2013-05-05T17:00:11"/>
    <x v="26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x v="1"/>
    <n v="376"/>
    <x v="0"/>
    <s v="film &amp; video/documentary"/>
    <n v="113"/>
    <n v="109.04"/>
    <x v="0"/>
    <x v="4"/>
    <x v="241"/>
    <d v="2014-12-21T16:45:04"/>
    <x v="26"/>
    <x v="3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x v="1"/>
    <n v="202"/>
    <x v="0"/>
    <s v="film &amp; video/documentary"/>
    <n v="113"/>
    <n v="73.02"/>
    <x v="0"/>
    <x v="4"/>
    <x v="242"/>
    <d v="2011-12-20T11:49:50"/>
    <x v="6"/>
    <x v="6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x v="1"/>
    <n v="328"/>
    <x v="0"/>
    <s v="film &amp; video/documentary"/>
    <n v="103"/>
    <n v="78.2"/>
    <x v="0"/>
    <x v="4"/>
    <x v="243"/>
    <d v="2014-02-22T01:08:24"/>
    <x v="1"/>
    <x v="3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x v="1"/>
    <n v="84"/>
    <x v="0"/>
    <s v="film &amp; video/documentary"/>
    <n v="114"/>
    <n v="47.4"/>
    <x v="0"/>
    <x v="4"/>
    <x v="244"/>
    <d v="2010-03-16T07:06:00"/>
    <x v="11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x v="1"/>
    <n v="96"/>
    <x v="0"/>
    <s v="film &amp; video/documentary"/>
    <n v="104"/>
    <n v="54.02"/>
    <x v="0"/>
    <x v="4"/>
    <x v="245"/>
    <d v="2012-08-16T01:16:25"/>
    <x v="1"/>
    <x v="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x v="1"/>
    <n v="223"/>
    <x v="0"/>
    <s v="film &amp; video/documentary"/>
    <n v="305"/>
    <n v="68.489999999999995"/>
    <x v="0"/>
    <x v="4"/>
    <x v="246"/>
    <d v="2010-12-18T09:43:25"/>
    <x v="111"/>
    <x v="7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x v="1"/>
    <n v="62"/>
    <x v="0"/>
    <s v="film &amp; video/documentary"/>
    <n v="134"/>
    <n v="108.15"/>
    <x v="0"/>
    <x v="4"/>
    <x v="247"/>
    <d v="2010-10-16T03:39:00"/>
    <x v="112"/>
    <x v="7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x v="1"/>
    <n v="146"/>
    <x v="0"/>
    <s v="film &amp; video/documentary"/>
    <n v="101"/>
    <n v="589.95000000000005"/>
    <x v="0"/>
    <x v="4"/>
    <x v="248"/>
    <d v="2012-01-07T18:35:09"/>
    <x v="26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x v="1"/>
    <n v="235"/>
    <x v="0"/>
    <s v="film &amp; video/documentary"/>
    <n v="113"/>
    <n v="48.05"/>
    <x v="0"/>
    <x v="4"/>
    <x v="249"/>
    <d v="2010-08-22T17:40:00"/>
    <x v="113"/>
    <x v="7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x v="1"/>
    <n v="437"/>
    <x v="0"/>
    <s v="film &amp; video/documentary"/>
    <n v="106"/>
    <n v="72.48"/>
    <x v="0"/>
    <x v="4"/>
    <x v="250"/>
    <d v="2013-06-06T13:34:51"/>
    <x v="1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x v="1"/>
    <n v="77"/>
    <x v="0"/>
    <s v="film &amp; video/documentary"/>
    <n v="126"/>
    <n v="57.08"/>
    <x v="0"/>
    <x v="4"/>
    <x v="251"/>
    <d v="2012-05-16T19:00:00"/>
    <x v="114"/>
    <x v="5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x v="1"/>
    <n v="108"/>
    <x v="0"/>
    <s v="film &amp; video/documentary"/>
    <n v="185"/>
    <n v="85.44"/>
    <x v="0"/>
    <x v="4"/>
    <x v="252"/>
    <d v="2010-06-01T03:59:00"/>
    <x v="115"/>
    <x v="7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x v="1"/>
    <n v="7"/>
    <x v="0"/>
    <s v="film &amp; video/documentary"/>
    <n v="101"/>
    <n v="215.86"/>
    <x v="0"/>
    <x v="4"/>
    <x v="253"/>
    <d v="2012-02-15T15:37:15"/>
    <x v="1"/>
    <x v="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x v="1"/>
    <n v="314"/>
    <x v="0"/>
    <s v="film &amp; video/documentary"/>
    <n v="117"/>
    <n v="89.39"/>
    <x v="0"/>
    <x v="4"/>
    <x v="254"/>
    <d v="2015-10-17T02:00:00"/>
    <x v="116"/>
    <x v="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x v="1"/>
    <n v="188"/>
    <x v="0"/>
    <s v="film &amp; video/documentary"/>
    <n v="107"/>
    <n v="45.42"/>
    <x v="0"/>
    <x v="4"/>
    <x v="255"/>
    <d v="2011-03-16T11:38:02"/>
    <x v="22"/>
    <x v="6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x v="1"/>
    <n v="275"/>
    <x v="0"/>
    <s v="film &amp; video/documentary"/>
    <n v="139"/>
    <n v="65.760000000000005"/>
    <x v="0"/>
    <x v="4"/>
    <x v="256"/>
    <d v="2013-03-16T18:27:47"/>
    <x v="1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x v="1"/>
    <n v="560"/>
    <x v="0"/>
    <s v="film &amp; video/documentary"/>
    <n v="107"/>
    <n v="66.7"/>
    <x v="0"/>
    <x v="4"/>
    <x v="257"/>
    <d v="2016-05-19T15:02:42"/>
    <x v="1"/>
    <x v="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x v="1"/>
    <n v="688"/>
    <x v="0"/>
    <s v="film &amp; video/documentary"/>
    <n v="191"/>
    <n v="83.35"/>
    <x v="0"/>
    <x v="4"/>
    <x v="258"/>
    <d v="2011-06-18T01:14:26"/>
    <x v="1"/>
    <x v="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x v="1"/>
    <n v="942"/>
    <x v="0"/>
    <s v="film &amp; video/documentary"/>
    <n v="132"/>
    <n v="105.05"/>
    <x v="0"/>
    <x v="4"/>
    <x v="259"/>
    <d v="2015-04-08T17:42:49"/>
    <x v="1"/>
    <x v="0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x v="1"/>
    <n v="88"/>
    <x v="0"/>
    <s v="film &amp; video/documentary"/>
    <n v="106"/>
    <n v="120.91"/>
    <x v="0"/>
    <x v="4"/>
    <x v="260"/>
    <d v="2010-07-17T09:59:00"/>
    <x v="117"/>
    <x v="7"/>
  </r>
  <r>
    <x v="261"/>
    <s v="Empires: The Film"/>
    <s v="Empires explores the impact of networks on histories and philosophies of political thought."/>
    <x v="22"/>
    <x v="200"/>
    <x v="0"/>
    <x v="0"/>
    <s v="USD"/>
    <n v="1339080900"/>
    <x v="261"/>
    <x v="1"/>
    <n v="220"/>
    <x v="0"/>
    <s v="film &amp; video/documentary"/>
    <n v="107"/>
    <n v="97.64"/>
    <x v="0"/>
    <x v="4"/>
    <x v="261"/>
    <d v="2012-06-07T14:55:00"/>
    <x v="118"/>
    <x v="5"/>
  </r>
  <r>
    <x v="262"/>
    <s v="The Last Cosmonaut"/>
    <s v="He can never die. He will live forever. He is the last cosmonaut, and this is his story."/>
    <x v="30"/>
    <x v="44"/>
    <x v="0"/>
    <x v="0"/>
    <s v="USD"/>
    <n v="1298699828"/>
    <x v="262"/>
    <x v="1"/>
    <n v="145"/>
    <x v="0"/>
    <s v="film &amp; video/documentary"/>
    <n v="240"/>
    <n v="41.38"/>
    <x v="0"/>
    <x v="4"/>
    <x v="262"/>
    <d v="2011-02-26T05:57:08"/>
    <x v="26"/>
    <x v="6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x v="1"/>
    <n v="963"/>
    <x v="0"/>
    <s v="film &amp; video/documentary"/>
    <n v="118"/>
    <n v="30.65"/>
    <x v="0"/>
    <x v="4"/>
    <x v="263"/>
    <d v="2012-09-27T22:54:54"/>
    <x v="1"/>
    <x v="5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x v="1"/>
    <n v="91"/>
    <x v="0"/>
    <s v="film &amp; video/documentary"/>
    <n v="118"/>
    <n v="64.95"/>
    <x v="0"/>
    <x v="4"/>
    <x v="264"/>
    <d v="2012-05-11T14:53:15"/>
    <x v="1"/>
    <x v="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x v="1"/>
    <n v="58"/>
    <x v="0"/>
    <s v="film &amp; video/documentary"/>
    <n v="111"/>
    <n v="95.78"/>
    <x v="0"/>
    <x v="4"/>
    <x v="265"/>
    <d v="2010-05-10T20:16:00"/>
    <x v="119"/>
    <x v="7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x v="1"/>
    <n v="36"/>
    <x v="0"/>
    <s v="film &amp; video/documentary"/>
    <n v="146"/>
    <n v="40.42"/>
    <x v="0"/>
    <x v="4"/>
    <x v="266"/>
    <d v="2010-04-23T03:51:00"/>
    <x v="120"/>
    <x v="7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x v="1"/>
    <n v="165"/>
    <x v="0"/>
    <s v="film &amp; video/documentary"/>
    <n v="132"/>
    <n v="78.58"/>
    <x v="0"/>
    <x v="4"/>
    <x v="267"/>
    <d v="2014-06-25T10:51:39"/>
    <x v="1"/>
    <x v="3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x v="1"/>
    <n v="111"/>
    <x v="0"/>
    <s v="film &amp; video/documentary"/>
    <n v="111"/>
    <n v="50.18"/>
    <x v="0"/>
    <x v="4"/>
    <x v="268"/>
    <d v="2011-11-07T04:39:38"/>
    <x v="71"/>
    <x v="6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x v="1"/>
    <n v="1596"/>
    <x v="0"/>
    <s v="film &amp; video/documentary"/>
    <n v="147"/>
    <n v="92.25"/>
    <x v="0"/>
    <x v="4"/>
    <x v="269"/>
    <d v="2017-02-22T04:43:42"/>
    <x v="1"/>
    <x v="1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x v="1"/>
    <n v="61"/>
    <x v="0"/>
    <s v="film &amp; video/documentary"/>
    <n v="153"/>
    <n v="57.54"/>
    <x v="0"/>
    <x v="4"/>
    <x v="270"/>
    <d v="2011-05-25T04:00:00"/>
    <x v="121"/>
    <x v="6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x v="1"/>
    <n v="287"/>
    <x v="0"/>
    <s v="film &amp; video/documentary"/>
    <n v="105"/>
    <n v="109.42"/>
    <x v="0"/>
    <x v="4"/>
    <x v="271"/>
    <d v="2014-01-02T08:00:00"/>
    <x v="122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x v="1"/>
    <n v="65"/>
    <x v="0"/>
    <s v="film &amp; video/documentary"/>
    <n v="177"/>
    <n v="81.89"/>
    <x v="0"/>
    <x v="4"/>
    <x v="272"/>
    <d v="2010-04-28T18:49:00"/>
    <x v="123"/>
    <x v="7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x v="1"/>
    <n v="118"/>
    <x v="0"/>
    <s v="film &amp; video/documentary"/>
    <n v="108"/>
    <n v="45.67"/>
    <x v="0"/>
    <x v="4"/>
    <x v="273"/>
    <d v="2011-07-03T11:57:46"/>
    <x v="1"/>
    <x v="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x v="1"/>
    <n v="113"/>
    <x v="0"/>
    <s v="film &amp; video/documentary"/>
    <n v="156"/>
    <n v="55.22"/>
    <x v="0"/>
    <x v="4"/>
    <x v="274"/>
    <d v="2012-04-05T06:59:00"/>
    <x v="124"/>
    <x v="5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x v="1"/>
    <n v="332"/>
    <x v="0"/>
    <s v="film &amp; video/documentary"/>
    <n v="108"/>
    <n v="65.3"/>
    <x v="0"/>
    <x v="4"/>
    <x v="275"/>
    <d v="2012-11-10T01:46:06"/>
    <x v="13"/>
    <x v="5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x v="1"/>
    <n v="62"/>
    <x v="0"/>
    <s v="film &amp; video/documentary"/>
    <n v="148"/>
    <n v="95.23"/>
    <x v="0"/>
    <x v="4"/>
    <x v="276"/>
    <d v="2012-04-28T00:57:54"/>
    <x v="80"/>
    <x v="5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x v="1"/>
    <n v="951"/>
    <x v="0"/>
    <s v="film &amp; video/documentary"/>
    <n v="110"/>
    <n v="75.44"/>
    <x v="0"/>
    <x v="4"/>
    <x v="277"/>
    <d v="2015-05-23T21:23:39"/>
    <x v="1"/>
    <x v="0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x v="1"/>
    <n v="415"/>
    <x v="0"/>
    <s v="film &amp; video/documentary"/>
    <n v="150"/>
    <n v="97.82"/>
    <x v="0"/>
    <x v="4"/>
    <x v="278"/>
    <d v="2012-10-12T00:58:59"/>
    <x v="1"/>
    <x v="5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x v="1"/>
    <n v="305"/>
    <x v="0"/>
    <s v="film &amp; video/documentary"/>
    <n v="157"/>
    <n v="87.69"/>
    <x v="0"/>
    <x v="4"/>
    <x v="279"/>
    <d v="2017-02-27T02:01:00"/>
    <x v="125"/>
    <x v="1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x v="1"/>
    <n v="2139"/>
    <x v="0"/>
    <s v="film &amp; video/documentary"/>
    <n v="156"/>
    <n v="54.75"/>
    <x v="0"/>
    <x v="4"/>
    <x v="280"/>
    <d v="2014-05-30T14:10:35"/>
    <x v="26"/>
    <x v="3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x v="1"/>
    <n v="79"/>
    <x v="0"/>
    <s v="film &amp; video/documentary"/>
    <n v="121"/>
    <n v="83.95"/>
    <x v="0"/>
    <x v="4"/>
    <x v="281"/>
    <d v="2009-08-10T19:26:00"/>
    <x v="126"/>
    <x v="8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x v="1"/>
    <n v="179"/>
    <x v="0"/>
    <s v="film &amp; video/documentary"/>
    <n v="101"/>
    <n v="254.39"/>
    <x v="0"/>
    <x v="4"/>
    <x v="282"/>
    <d v="2010-02-22T22:00:00"/>
    <x v="127"/>
    <x v="7"/>
  </r>
  <r>
    <x v="283"/>
    <s v="SOLE SURVIVOR"/>
    <s v="What is the impact of survivorship on the human condition?"/>
    <x v="102"/>
    <x v="221"/>
    <x v="0"/>
    <x v="0"/>
    <s v="USD"/>
    <n v="1306904340"/>
    <x v="283"/>
    <x v="1"/>
    <n v="202"/>
    <x v="0"/>
    <s v="film &amp; video/documentary"/>
    <n v="114"/>
    <n v="101.83"/>
    <x v="0"/>
    <x v="4"/>
    <x v="283"/>
    <d v="2011-06-01T04:59:00"/>
    <x v="128"/>
    <x v="6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x v="1"/>
    <n v="760"/>
    <x v="0"/>
    <s v="film &amp; video/documentary"/>
    <n v="105"/>
    <n v="55.07"/>
    <x v="0"/>
    <x v="4"/>
    <x v="284"/>
    <d v="2012-01-21T17:43:00"/>
    <x v="36"/>
    <x v="6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x v="1"/>
    <n v="563"/>
    <x v="0"/>
    <s v="film &amp; video/documentary"/>
    <n v="229"/>
    <n v="56.9"/>
    <x v="0"/>
    <x v="4"/>
    <x v="285"/>
    <d v="2013-09-19T18:08:48"/>
    <x v="1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x v="1"/>
    <n v="135"/>
    <x v="0"/>
    <s v="film &amp; video/documentary"/>
    <n v="109"/>
    <n v="121.28"/>
    <x v="0"/>
    <x v="4"/>
    <x v="286"/>
    <d v="2013-03-25T18:35:24"/>
    <x v="129"/>
    <x v="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x v="287"/>
    <x v="1"/>
    <n v="290"/>
    <x v="0"/>
    <s v="film &amp; video/documentary"/>
    <n v="176"/>
    <n v="91.19"/>
    <x v="0"/>
    <x v="4"/>
    <x v="287"/>
    <d v="2012-11-02T04:00:00"/>
    <x v="130"/>
    <x v="5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x v="1"/>
    <n v="447"/>
    <x v="0"/>
    <s v="film &amp; video/documentary"/>
    <n v="103"/>
    <n v="115.45"/>
    <x v="0"/>
    <x v="4"/>
    <x v="288"/>
    <d v="2012-06-26T04:03:13"/>
    <x v="6"/>
    <x v="5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x v="1"/>
    <n v="232"/>
    <x v="0"/>
    <s v="film &amp; video/documentary"/>
    <n v="105"/>
    <n v="67.77"/>
    <x v="0"/>
    <x v="4"/>
    <x v="289"/>
    <d v="2013-11-02T10:57:14"/>
    <x v="1"/>
    <x v="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x v="1"/>
    <n v="168"/>
    <x v="0"/>
    <s v="film &amp; video/documentary"/>
    <n v="107"/>
    <n v="28.58"/>
    <x v="0"/>
    <x v="4"/>
    <x v="290"/>
    <d v="2011-02-02T07:59:00"/>
    <x v="101"/>
    <x v="7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x v="1"/>
    <n v="128"/>
    <x v="0"/>
    <s v="film &amp; video/documentary"/>
    <n v="120"/>
    <n v="46.88"/>
    <x v="0"/>
    <x v="4"/>
    <x v="291"/>
    <d v="2013-05-01T00:01:00"/>
    <x v="131"/>
    <x v="4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x v="1"/>
    <n v="493"/>
    <x v="0"/>
    <s v="film &amp; video/documentary"/>
    <n v="102"/>
    <n v="154.41999999999999"/>
    <x v="0"/>
    <x v="4"/>
    <x v="292"/>
    <d v="2011-10-29T03:59:00"/>
    <x v="132"/>
    <x v="6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x v="1"/>
    <n v="131"/>
    <x v="0"/>
    <s v="film &amp; video/documentary"/>
    <n v="101"/>
    <n v="201.22"/>
    <x v="0"/>
    <x v="4"/>
    <x v="293"/>
    <d v="2014-04-20T16:01:54"/>
    <x v="1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x v="1"/>
    <n v="50"/>
    <x v="0"/>
    <s v="film &amp; video/documentary"/>
    <n v="100"/>
    <n v="100"/>
    <x v="0"/>
    <x v="4"/>
    <x v="294"/>
    <d v="2010-07-19T16:00:00"/>
    <x v="133"/>
    <x v="7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x v="1"/>
    <n v="665"/>
    <x v="0"/>
    <s v="film &amp; video/documentary"/>
    <n v="133"/>
    <n v="100.08"/>
    <x v="0"/>
    <x v="4"/>
    <x v="295"/>
    <d v="2013-11-01T00:00:00"/>
    <x v="14"/>
    <x v="4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x v="1"/>
    <n v="129"/>
    <x v="0"/>
    <s v="film &amp; video/documentary"/>
    <n v="119"/>
    <n v="230.09"/>
    <x v="0"/>
    <x v="4"/>
    <x v="296"/>
    <d v="2012-09-07T11:24:43"/>
    <x v="36"/>
    <x v="5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x v="1"/>
    <n v="142"/>
    <x v="0"/>
    <s v="film &amp; video/documentary"/>
    <n v="101"/>
    <n v="141.75"/>
    <x v="0"/>
    <x v="4"/>
    <x v="297"/>
    <d v="2015-05-01T03:59:00"/>
    <x v="134"/>
    <x v="0"/>
  </r>
  <r>
    <x v="298"/>
    <s v="DisHonesty - A Documentary Feature Film"/>
    <s v="The truth is, we all lie - and by &quot;we,&quot; we mean everyone!"/>
    <x v="103"/>
    <x v="235"/>
    <x v="0"/>
    <x v="0"/>
    <s v="USD"/>
    <n v="1399669200"/>
    <x v="298"/>
    <x v="1"/>
    <n v="2436"/>
    <x v="0"/>
    <s v="film &amp; video/documentary"/>
    <n v="109"/>
    <n v="56.34"/>
    <x v="0"/>
    <x v="4"/>
    <x v="298"/>
    <d v="2014-05-09T21:00:00"/>
    <x v="135"/>
    <x v="3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x v="1"/>
    <n v="244"/>
    <x v="0"/>
    <s v="film &amp; video/documentary"/>
    <n v="179"/>
    <n v="73.34"/>
    <x v="0"/>
    <x v="4"/>
    <x v="299"/>
    <d v="2010-11-17T06:24:20"/>
    <x v="13"/>
    <x v="7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x v="1"/>
    <n v="298"/>
    <x v="0"/>
    <s v="film &amp; video/documentary"/>
    <n v="102"/>
    <n v="85.34"/>
    <x v="0"/>
    <x v="4"/>
    <x v="300"/>
    <d v="2011-04-24T23:02:18"/>
    <x v="102"/>
    <x v="6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x v="1"/>
    <n v="251"/>
    <x v="0"/>
    <s v="film &amp; video/documentary"/>
    <n v="119"/>
    <n v="61.5"/>
    <x v="0"/>
    <x v="4"/>
    <x v="301"/>
    <d v="2013-03-19T16:42:15"/>
    <x v="136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x v="1"/>
    <n v="108"/>
    <x v="0"/>
    <s v="film &amp; video/documentary"/>
    <n v="100"/>
    <n v="93.02"/>
    <x v="0"/>
    <x v="4"/>
    <x v="302"/>
    <d v="2012-02-24T20:33:58"/>
    <x v="1"/>
    <x v="5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x v="1"/>
    <n v="82"/>
    <x v="0"/>
    <s v="film &amp; video/documentary"/>
    <n v="137"/>
    <n v="50.29"/>
    <x v="0"/>
    <x v="4"/>
    <x v="303"/>
    <d v="2012-06-02T01:42:26"/>
    <x v="1"/>
    <x v="5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x v="1"/>
    <n v="74"/>
    <x v="0"/>
    <s v="film &amp; video/documentary"/>
    <n v="232"/>
    <n v="106.43"/>
    <x v="0"/>
    <x v="4"/>
    <x v="304"/>
    <d v="2012-09-01T02:00:00"/>
    <x v="137"/>
    <x v="5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x v="305"/>
    <x v="1"/>
    <n v="189"/>
    <x v="0"/>
    <s v="film &amp; video/documentary"/>
    <n v="130"/>
    <n v="51.72"/>
    <x v="0"/>
    <x v="4"/>
    <x v="305"/>
    <d v="2012-03-10T15:07:29"/>
    <x v="1"/>
    <x v="5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x v="1"/>
    <n v="80"/>
    <x v="0"/>
    <s v="film &amp; video/documentary"/>
    <n v="293"/>
    <n v="36.61"/>
    <x v="0"/>
    <x v="4"/>
    <x v="306"/>
    <d v="2013-03-20T19:05:33"/>
    <x v="138"/>
    <x v="4"/>
  </r>
  <r>
    <x v="307"/>
    <s v="Grammar Revolution"/>
    <s v="Why is grammar important?"/>
    <x v="29"/>
    <x v="244"/>
    <x v="0"/>
    <x v="0"/>
    <s v="USD"/>
    <n v="1360276801"/>
    <x v="307"/>
    <x v="1"/>
    <n v="576"/>
    <x v="0"/>
    <s v="film &amp; video/documentary"/>
    <n v="111"/>
    <n v="42.52"/>
    <x v="0"/>
    <x v="4"/>
    <x v="307"/>
    <d v="2013-02-07T22:40:01"/>
    <x v="1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x v="1"/>
    <n v="202"/>
    <x v="0"/>
    <s v="film &amp; video/documentary"/>
    <n v="106"/>
    <n v="62.71"/>
    <x v="0"/>
    <x v="4"/>
    <x v="308"/>
    <d v="2011-03-10T16:40:10"/>
    <x v="26"/>
    <x v="6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x v="1"/>
    <n v="238"/>
    <x v="0"/>
    <s v="film &amp; video/documentary"/>
    <n v="119"/>
    <n v="89.96"/>
    <x v="0"/>
    <x v="4"/>
    <x v="309"/>
    <d v="2012-09-03T18:02:14"/>
    <x v="31"/>
    <x v="5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x v="1"/>
    <n v="36"/>
    <x v="0"/>
    <s v="film &amp; video/documentary"/>
    <n v="104"/>
    <n v="28.92"/>
    <x v="0"/>
    <x v="4"/>
    <x v="310"/>
    <d v="2011-10-20T02:00:00"/>
    <x v="139"/>
    <x v="6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x v="1"/>
    <n v="150"/>
    <x v="0"/>
    <s v="film &amp; video/documentary"/>
    <n v="104"/>
    <n v="138.80000000000001"/>
    <x v="0"/>
    <x v="4"/>
    <x v="311"/>
    <d v="2012-01-01T07:59:00"/>
    <x v="140"/>
    <x v="6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x v="1"/>
    <n v="146"/>
    <x v="0"/>
    <s v="film &amp; video/documentary"/>
    <n v="112"/>
    <n v="61.3"/>
    <x v="0"/>
    <x v="4"/>
    <x v="312"/>
    <d v="2013-04-14T21:03:52"/>
    <x v="1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x v="1"/>
    <n v="222"/>
    <x v="0"/>
    <s v="film &amp; video/documentary"/>
    <n v="105"/>
    <n v="80.2"/>
    <x v="0"/>
    <x v="4"/>
    <x v="313"/>
    <d v="2010-08-11T15:59:00"/>
    <x v="141"/>
    <x v="7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x v="1"/>
    <n v="120"/>
    <x v="0"/>
    <s v="film &amp; video/documentary"/>
    <n v="385"/>
    <n v="32.1"/>
    <x v="0"/>
    <x v="4"/>
    <x v="314"/>
    <d v="2013-03-01T19:59:48"/>
    <x v="1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x v="1"/>
    <n v="126"/>
    <x v="0"/>
    <s v="film &amp; video/documentary"/>
    <n v="101"/>
    <n v="200.89"/>
    <x v="0"/>
    <x v="4"/>
    <x v="315"/>
    <d v="2012-08-22T18:32:14"/>
    <x v="1"/>
    <x v="5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x v="1"/>
    <n v="158"/>
    <x v="0"/>
    <s v="film &amp; video/documentary"/>
    <n v="114"/>
    <n v="108.01"/>
    <x v="0"/>
    <x v="4"/>
    <x v="316"/>
    <d v="2014-12-11T04:59:00"/>
    <x v="142"/>
    <x v="3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x v="1"/>
    <n v="316"/>
    <x v="0"/>
    <s v="film &amp; video/documentary"/>
    <n v="101"/>
    <n v="95.7"/>
    <x v="0"/>
    <x v="4"/>
    <x v="317"/>
    <d v="2013-12-11T16:14:43"/>
    <x v="1"/>
    <x v="4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x v="1"/>
    <n v="284"/>
    <x v="0"/>
    <s v="film &amp; video/documentary"/>
    <n v="283"/>
    <n v="49.88"/>
    <x v="0"/>
    <x v="4"/>
    <x v="318"/>
    <d v="2013-03-26T23:55:51"/>
    <x v="22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x v="1"/>
    <n v="51"/>
    <x v="0"/>
    <s v="film &amp; video/documentary"/>
    <n v="113"/>
    <n v="110.47"/>
    <x v="0"/>
    <x v="4"/>
    <x v="319"/>
    <d v="2010-02-02T07:59:00"/>
    <x v="143"/>
    <x v="8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x v="1"/>
    <n v="158"/>
    <x v="0"/>
    <s v="film &amp; video/documentary"/>
    <n v="107"/>
    <n v="134.91"/>
    <x v="0"/>
    <x v="4"/>
    <x v="320"/>
    <d v="2015-12-22T23:00:00"/>
    <x v="144"/>
    <x v="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x v="1"/>
    <n v="337"/>
    <x v="0"/>
    <s v="film &amp; video/documentary"/>
    <n v="103"/>
    <n v="106.62"/>
    <x v="0"/>
    <x v="4"/>
    <x v="321"/>
    <d v="2016-11-08T11:43:06"/>
    <x v="145"/>
    <x v="2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x v="1"/>
    <n v="186"/>
    <x v="0"/>
    <s v="film &amp; video/documentary"/>
    <n v="108"/>
    <n v="145.04"/>
    <x v="0"/>
    <x v="4"/>
    <x v="322"/>
    <d v="2016-05-13T13:40:48"/>
    <x v="1"/>
    <x v="2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x v="1"/>
    <n v="58"/>
    <x v="0"/>
    <s v="film &amp; video/documentary"/>
    <n v="123"/>
    <n v="114.59"/>
    <x v="0"/>
    <x v="4"/>
    <x v="323"/>
    <d v="2016-12-21T07:59:00"/>
    <x v="146"/>
    <x v="2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x v="1"/>
    <n v="82"/>
    <x v="0"/>
    <s v="film &amp; video/documentary"/>
    <n v="102"/>
    <n v="105.32"/>
    <x v="0"/>
    <x v="4"/>
    <x v="324"/>
    <d v="2015-08-01T15:01:48"/>
    <x v="17"/>
    <x v="0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x v="1"/>
    <n v="736"/>
    <x v="0"/>
    <s v="film &amp; video/documentary"/>
    <n v="104"/>
    <n v="70.92"/>
    <x v="0"/>
    <x v="4"/>
    <x v="325"/>
    <d v="2016-12-20T04:30:33"/>
    <x v="6"/>
    <x v="2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x v="1"/>
    <n v="1151"/>
    <x v="0"/>
    <s v="film &amp; video/documentary"/>
    <n v="113"/>
    <n v="147.16999999999999"/>
    <x v="0"/>
    <x v="4"/>
    <x v="326"/>
    <d v="2017-03-14T22:57:00"/>
    <x v="147"/>
    <x v="1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x v="1"/>
    <n v="34"/>
    <x v="0"/>
    <s v="film &amp; video/documentary"/>
    <n v="136"/>
    <n v="160.47"/>
    <x v="0"/>
    <x v="4"/>
    <x v="327"/>
    <d v="2015-03-22T08:00:00"/>
    <x v="148"/>
    <x v="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x v="1"/>
    <n v="498"/>
    <x v="0"/>
    <s v="film &amp; video/documentary"/>
    <n v="104"/>
    <n v="156.05000000000001"/>
    <x v="0"/>
    <x v="4"/>
    <x v="328"/>
    <d v="2015-11-01T04:00:00"/>
    <x v="149"/>
    <x v="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x v="1"/>
    <n v="167"/>
    <x v="0"/>
    <s v="film &amp; video/documentary"/>
    <n v="106"/>
    <n v="63.17"/>
    <x v="0"/>
    <x v="4"/>
    <x v="329"/>
    <d v="2015-11-07T04:00:00"/>
    <x v="150"/>
    <x v="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x v="1"/>
    <n v="340"/>
    <x v="0"/>
    <s v="film &amp; video/documentary"/>
    <n v="102"/>
    <n v="104.82"/>
    <x v="0"/>
    <x v="4"/>
    <x v="330"/>
    <d v="2013-05-17T03:59:00"/>
    <x v="151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x v="1"/>
    <n v="438"/>
    <x v="0"/>
    <s v="film &amp; video/documentary"/>
    <n v="107"/>
    <n v="97.36"/>
    <x v="0"/>
    <x v="4"/>
    <x v="331"/>
    <d v="2016-06-17T13:57:14"/>
    <x v="102"/>
    <x v="2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x v="1"/>
    <n v="555"/>
    <x v="0"/>
    <s v="film &amp; video/documentary"/>
    <n v="113"/>
    <n v="203.63"/>
    <x v="0"/>
    <x v="4"/>
    <x v="332"/>
    <d v="2015-10-28T08:00:00"/>
    <x v="152"/>
    <x v="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x v="1"/>
    <n v="266"/>
    <x v="0"/>
    <s v="film &amp; video/documentary"/>
    <n v="125"/>
    <n v="188.31"/>
    <x v="0"/>
    <x v="4"/>
    <x v="333"/>
    <d v="2016-04-07T14:16:31"/>
    <x v="22"/>
    <x v="2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x v="1"/>
    <n v="69"/>
    <x v="0"/>
    <s v="film &amp; video/documentary"/>
    <n v="101"/>
    <n v="146.65"/>
    <x v="0"/>
    <x v="4"/>
    <x v="334"/>
    <d v="2015-05-15T19:00:00"/>
    <x v="153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x v="1"/>
    <n v="80"/>
    <x v="0"/>
    <s v="film &amp; video/documentary"/>
    <n v="103"/>
    <n v="109.19"/>
    <x v="0"/>
    <x v="4"/>
    <x v="335"/>
    <d v="2015-05-08T22:00:00"/>
    <x v="154"/>
    <x v="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x v="1"/>
    <n v="493"/>
    <x v="0"/>
    <s v="film &amp; video/documentary"/>
    <n v="117"/>
    <n v="59.25"/>
    <x v="0"/>
    <x v="4"/>
    <x v="336"/>
    <d v="2015-11-13T15:18:38"/>
    <x v="13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x v="1"/>
    <n v="31"/>
    <x v="0"/>
    <s v="film &amp; video/documentary"/>
    <n v="101"/>
    <n v="97.9"/>
    <x v="0"/>
    <x v="4"/>
    <x v="337"/>
    <d v="2015-03-14T02:05:08"/>
    <x v="22"/>
    <x v="0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x v="1"/>
    <n v="236"/>
    <x v="0"/>
    <s v="film &amp; video/documentary"/>
    <n v="110"/>
    <n v="70"/>
    <x v="0"/>
    <x v="4"/>
    <x v="338"/>
    <d v="2016-09-03T01:00:00"/>
    <x v="155"/>
    <x v="2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x v="1"/>
    <n v="89"/>
    <x v="0"/>
    <s v="film &amp; video/documentary"/>
    <n v="108"/>
    <n v="72.87"/>
    <x v="0"/>
    <x v="4"/>
    <x v="339"/>
    <d v="2015-04-29T18:14:28"/>
    <x v="1"/>
    <x v="0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x v="1"/>
    <n v="299"/>
    <x v="0"/>
    <s v="film &amp; video/documentary"/>
    <n v="125"/>
    <n v="146.35"/>
    <x v="0"/>
    <x v="4"/>
    <x v="340"/>
    <d v="2017-03-08T21:00:00"/>
    <x v="25"/>
    <x v="1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x v="1"/>
    <n v="55"/>
    <x v="0"/>
    <s v="film &amp; video/documentary"/>
    <n v="107"/>
    <n v="67.91"/>
    <x v="0"/>
    <x v="4"/>
    <x v="341"/>
    <d v="2014-10-01T03:59:00"/>
    <x v="156"/>
    <x v="3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x v="1"/>
    <n v="325"/>
    <x v="0"/>
    <s v="film &amp; video/documentary"/>
    <n v="100"/>
    <n v="169.85"/>
    <x v="0"/>
    <x v="4"/>
    <x v="342"/>
    <d v="2016-04-29T18:44:25"/>
    <x v="1"/>
    <x v="2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x v="1"/>
    <n v="524"/>
    <x v="0"/>
    <s v="film &amp; video/documentary"/>
    <n v="102"/>
    <n v="58.41"/>
    <x v="0"/>
    <x v="4"/>
    <x v="343"/>
    <d v="2014-11-14T03:00:00"/>
    <x v="157"/>
    <x v="3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x v="1"/>
    <n v="285"/>
    <x v="0"/>
    <s v="film &amp; video/documentary"/>
    <n v="102"/>
    <n v="119.99"/>
    <x v="0"/>
    <x v="4"/>
    <x v="344"/>
    <d v="2015-06-01T02:20:00"/>
    <x v="158"/>
    <x v="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x v="1"/>
    <n v="179"/>
    <x v="0"/>
    <s v="film &amp; video/documentary"/>
    <n v="123"/>
    <n v="99.86"/>
    <x v="0"/>
    <x v="4"/>
    <x v="345"/>
    <d v="2015-05-20T22:39:50"/>
    <x v="1"/>
    <x v="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x v="1"/>
    <n v="188"/>
    <x v="0"/>
    <s v="film &amp; video/documentary"/>
    <n v="170"/>
    <n v="90.58"/>
    <x v="0"/>
    <x v="4"/>
    <x v="346"/>
    <d v="2015-10-14T12:00:21"/>
    <x v="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x v="1"/>
    <n v="379"/>
    <x v="0"/>
    <s v="film &amp; video/documentary"/>
    <n v="112"/>
    <n v="117.77"/>
    <x v="0"/>
    <x v="4"/>
    <x v="347"/>
    <d v="2015-11-14T12:53:29"/>
    <x v="13"/>
    <x v="0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x v="1"/>
    <n v="119"/>
    <x v="0"/>
    <s v="film &amp; video/documentary"/>
    <n v="103"/>
    <n v="86.55"/>
    <x v="0"/>
    <x v="4"/>
    <x v="348"/>
    <d v="2015-08-21T14:05:16"/>
    <x v="1"/>
    <x v="0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x v="1"/>
    <n v="167"/>
    <x v="0"/>
    <s v="film &amp; video/documentary"/>
    <n v="107"/>
    <n v="71.900000000000006"/>
    <x v="0"/>
    <x v="4"/>
    <x v="349"/>
    <d v="2017-02-24T11:58:28"/>
    <x v="1"/>
    <x v="1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x v="1"/>
    <n v="221"/>
    <x v="0"/>
    <s v="film &amp; video/documentary"/>
    <n v="115"/>
    <n v="129.82"/>
    <x v="0"/>
    <x v="4"/>
    <x v="350"/>
    <d v="2016-09-11T03:59:00"/>
    <x v="159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x v="1"/>
    <n v="964"/>
    <x v="0"/>
    <s v="film &amp; video/documentary"/>
    <n v="127"/>
    <n v="44.91"/>
    <x v="0"/>
    <x v="4"/>
    <x v="351"/>
    <d v="2016-04-07T22:09:14"/>
    <x v="136"/>
    <x v="2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x v="1"/>
    <n v="286"/>
    <x v="0"/>
    <s v="film &amp; video/documentary"/>
    <n v="117"/>
    <n v="40.76"/>
    <x v="0"/>
    <x v="4"/>
    <x v="352"/>
    <d v="2014-10-08T04:01:08"/>
    <x v="1"/>
    <x v="3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x v="1"/>
    <n v="613"/>
    <x v="0"/>
    <s v="film &amp; video/documentary"/>
    <n v="109"/>
    <n v="103.52"/>
    <x v="0"/>
    <x v="4"/>
    <x v="353"/>
    <d v="2015-11-19T20:00:19"/>
    <x v="13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x v="1"/>
    <n v="29"/>
    <x v="0"/>
    <s v="film &amp; video/documentary"/>
    <n v="104"/>
    <n v="125.45"/>
    <x v="0"/>
    <x v="4"/>
    <x v="354"/>
    <d v="2016-04-08T18:52:01"/>
    <x v="22"/>
    <x v="2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x v="355"/>
    <x v="1"/>
    <n v="165"/>
    <x v="0"/>
    <s v="film &amp; video/documentary"/>
    <n v="116"/>
    <n v="246.61"/>
    <x v="0"/>
    <x v="4"/>
    <x v="355"/>
    <d v="2014-12-01T08:03:14"/>
    <x v="160"/>
    <x v="3"/>
  </r>
  <r>
    <x v="356"/>
    <s v="43 and 80"/>
    <s v="A documentary about halibut conservation and how it impacts communities of Southeast Alaska."/>
    <x v="51"/>
    <x v="293"/>
    <x v="0"/>
    <x v="0"/>
    <s v="USD"/>
    <n v="1458152193"/>
    <x v="356"/>
    <x v="1"/>
    <n v="97"/>
    <x v="0"/>
    <s v="film &amp; video/documentary"/>
    <n v="103"/>
    <n v="79.400000000000006"/>
    <x v="0"/>
    <x v="4"/>
    <x v="356"/>
    <d v="2016-03-16T18:16:33"/>
    <x v="2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x v="1"/>
    <n v="303"/>
    <x v="0"/>
    <s v="film &amp; video/documentary"/>
    <n v="174"/>
    <n v="86.14"/>
    <x v="0"/>
    <x v="4"/>
    <x v="357"/>
    <d v="2015-04-24T05:19:57"/>
    <x v="4"/>
    <x v="0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x v="1"/>
    <n v="267"/>
    <x v="0"/>
    <s v="film &amp; video/documentary"/>
    <n v="103"/>
    <n v="193.05"/>
    <x v="0"/>
    <x v="4"/>
    <x v="358"/>
    <d v="2016-06-15T15:00:00"/>
    <x v="161"/>
    <x v="2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x v="1"/>
    <n v="302"/>
    <x v="0"/>
    <s v="film &amp; video/documentary"/>
    <n v="105"/>
    <n v="84.02"/>
    <x v="0"/>
    <x v="4"/>
    <x v="359"/>
    <d v="2014-11-14T05:12:00"/>
    <x v="162"/>
    <x v="3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x v="0"/>
    <n v="87"/>
    <x v="0"/>
    <s v="film &amp; video/documentary"/>
    <n v="101"/>
    <n v="139.83000000000001"/>
    <x v="0"/>
    <x v="4"/>
    <x v="360"/>
    <d v="2015-07-23T03:11:00"/>
    <x v="163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x v="0"/>
    <n v="354"/>
    <x v="0"/>
    <s v="film &amp; video/documentary"/>
    <n v="111"/>
    <n v="109.82"/>
    <x v="0"/>
    <x v="4"/>
    <x v="361"/>
    <d v="2014-11-23T01:01:46"/>
    <x v="13"/>
    <x v="3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x v="0"/>
    <n v="86"/>
    <x v="0"/>
    <s v="film &amp; video/documentary"/>
    <n v="124"/>
    <n v="139.53"/>
    <x v="0"/>
    <x v="4"/>
    <x v="362"/>
    <d v="2014-08-08T00:00:00"/>
    <x v="164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x v="0"/>
    <n v="26"/>
    <x v="0"/>
    <s v="film &amp; video/documentary"/>
    <n v="101"/>
    <n v="347.85"/>
    <x v="0"/>
    <x v="4"/>
    <x v="363"/>
    <d v="2010-05-02T19:22:00"/>
    <x v="165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x v="0"/>
    <n v="113"/>
    <x v="0"/>
    <s v="film &amp; video/documentary"/>
    <n v="110"/>
    <n v="68.239999999999995"/>
    <x v="0"/>
    <x v="4"/>
    <x v="364"/>
    <d v="2014-06-21T03:59:00"/>
    <x v="166"/>
    <x v="3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x v="0"/>
    <n v="65"/>
    <x v="0"/>
    <s v="film &amp; video/documentary"/>
    <n v="104"/>
    <n v="239.94"/>
    <x v="0"/>
    <x v="4"/>
    <x v="365"/>
    <d v="2014-02-28T14:33:19"/>
    <x v="1"/>
    <x v="3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x v="0"/>
    <n v="134"/>
    <x v="0"/>
    <s v="film &amp; video/documentary"/>
    <n v="101"/>
    <n v="287.31"/>
    <x v="0"/>
    <x v="4"/>
    <x v="366"/>
    <d v="2012-05-20T19:01:58"/>
    <x v="1"/>
    <x v="5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x v="0"/>
    <n v="119"/>
    <x v="0"/>
    <s v="film &amp; video/documentary"/>
    <n v="103"/>
    <n v="86.85"/>
    <x v="0"/>
    <x v="4"/>
    <x v="367"/>
    <d v="2013-05-01T04:59:00"/>
    <x v="167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x v="0"/>
    <n v="159"/>
    <x v="0"/>
    <s v="film &amp; video/documentary"/>
    <n v="104"/>
    <n v="81.849999999999994"/>
    <x v="0"/>
    <x v="4"/>
    <x v="368"/>
    <d v="2015-03-15T13:32:02"/>
    <x v="89"/>
    <x v="0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x v="0"/>
    <n v="167"/>
    <x v="0"/>
    <s v="film &amp; video/documentary"/>
    <n v="110"/>
    <n v="42.87"/>
    <x v="0"/>
    <x v="4"/>
    <x v="369"/>
    <d v="2012-01-15T13:14:29"/>
    <x v="1"/>
    <x v="6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x v="0"/>
    <n v="43"/>
    <x v="0"/>
    <s v="film &amp; video/documentary"/>
    <n v="122"/>
    <n v="709.42"/>
    <x v="0"/>
    <x v="4"/>
    <x v="370"/>
    <d v="2017-01-06T19:05:00"/>
    <x v="1"/>
    <x v="2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x v="0"/>
    <n v="1062"/>
    <x v="0"/>
    <s v="film &amp; video/documentary"/>
    <n v="114"/>
    <n v="161.26"/>
    <x v="0"/>
    <x v="4"/>
    <x v="371"/>
    <d v="2013-02-01T18:25:39"/>
    <x v="26"/>
    <x v="5"/>
  </r>
  <r>
    <x v="372"/>
    <s v="Wild Equus"/>
    <s v="A short documentary exploring the uses of 'Natural Horsemanship' across Europe"/>
    <x v="43"/>
    <x v="308"/>
    <x v="0"/>
    <x v="1"/>
    <s v="GBP"/>
    <n v="1459872000"/>
    <x v="372"/>
    <x v="0"/>
    <n v="9"/>
    <x v="0"/>
    <s v="film &amp; video/documentary"/>
    <n v="125"/>
    <n v="41.78"/>
    <x v="0"/>
    <x v="4"/>
    <x v="372"/>
    <d v="2016-04-05T16:00:00"/>
    <x v="168"/>
    <x v="2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x v="0"/>
    <n v="89"/>
    <x v="0"/>
    <s v="film &amp; video/documentary"/>
    <n v="107"/>
    <n v="89.89"/>
    <x v="0"/>
    <x v="4"/>
    <x v="373"/>
    <d v="2012-07-18T21:53:18"/>
    <x v="1"/>
    <x v="5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x v="0"/>
    <n v="174"/>
    <x v="0"/>
    <s v="film &amp; video/documentary"/>
    <n v="131"/>
    <n v="45.05"/>
    <x v="0"/>
    <x v="4"/>
    <x v="374"/>
    <d v="2011-09-16T21:20:31"/>
    <x v="26"/>
    <x v="6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x v="0"/>
    <n v="14"/>
    <x v="0"/>
    <s v="film &amp; video/documentary"/>
    <n v="120"/>
    <n v="42.86"/>
    <x v="0"/>
    <x v="4"/>
    <x v="375"/>
    <d v="2014-03-01T17:18:00"/>
    <x v="169"/>
    <x v="3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x v="0"/>
    <n v="48"/>
    <x v="0"/>
    <s v="film &amp; video/documentary"/>
    <n v="106"/>
    <n v="54.08"/>
    <x v="0"/>
    <x v="4"/>
    <x v="376"/>
    <d v="2016-08-25T10:51:56"/>
    <x v="102"/>
    <x v="2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x v="0"/>
    <n v="133"/>
    <x v="0"/>
    <s v="film &amp; video/documentary"/>
    <n v="114"/>
    <n v="103.22"/>
    <x v="0"/>
    <x v="4"/>
    <x v="377"/>
    <d v="2015-11-14T07:01:00"/>
    <x v="13"/>
    <x v="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x v="0"/>
    <n v="83"/>
    <x v="0"/>
    <s v="film &amp; video/documentary"/>
    <n v="112"/>
    <n v="40.4"/>
    <x v="0"/>
    <x v="4"/>
    <x v="378"/>
    <d v="2016-01-25T23:52:00"/>
    <x v="170"/>
    <x v="2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x v="0"/>
    <n v="149"/>
    <x v="0"/>
    <s v="film &amp; video/documentary"/>
    <n v="116"/>
    <n v="116.86"/>
    <x v="0"/>
    <x v="4"/>
    <x v="379"/>
    <d v="2012-05-03T16:31:12"/>
    <x v="26"/>
    <x v="5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x v="0"/>
    <n v="49"/>
    <x v="0"/>
    <s v="film &amp; video/documentary"/>
    <n v="142"/>
    <n v="115.51"/>
    <x v="0"/>
    <x v="4"/>
    <x v="380"/>
    <d v="2016-01-23T17:16:32"/>
    <x v="36"/>
    <x v="0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x v="0"/>
    <n v="251"/>
    <x v="0"/>
    <s v="film &amp; video/documentary"/>
    <n v="105"/>
    <n v="104.31"/>
    <x v="0"/>
    <x v="4"/>
    <x v="381"/>
    <d v="2012-07-30T05:00:00"/>
    <x v="171"/>
    <x v="5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x v="0"/>
    <n v="22"/>
    <x v="0"/>
    <s v="film &amp; video/documentary"/>
    <n v="256"/>
    <n v="69.77"/>
    <x v="0"/>
    <x v="4"/>
    <x v="382"/>
    <d v="2012-09-06T17:01:40"/>
    <x v="59"/>
    <x v="5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x v="0"/>
    <n v="48"/>
    <x v="0"/>
    <s v="film &amp; video/documentary"/>
    <n v="207"/>
    <n v="43.02"/>
    <x v="0"/>
    <x v="4"/>
    <x v="383"/>
    <d v="2014-05-19T02:49:19"/>
    <x v="56"/>
    <x v="3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x v="0"/>
    <n v="383"/>
    <x v="0"/>
    <s v="film &amp; video/documentary"/>
    <n v="112"/>
    <n v="58.54"/>
    <x v="0"/>
    <x v="4"/>
    <x v="384"/>
    <d v="2015-01-06T18:45:47"/>
    <x v="1"/>
    <x v="3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x v="0"/>
    <n v="237"/>
    <x v="0"/>
    <s v="film &amp; video/documentary"/>
    <n v="106"/>
    <n v="111.8"/>
    <x v="0"/>
    <x v="4"/>
    <x v="385"/>
    <d v="2014-11-21T15:01:41"/>
    <x v="13"/>
    <x v="3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x v="0"/>
    <n v="13"/>
    <x v="0"/>
    <s v="film &amp; video/documentary"/>
    <n v="100"/>
    <n v="46.23"/>
    <x v="0"/>
    <x v="4"/>
    <x v="386"/>
    <d v="2015-08-10T22:49:51"/>
    <x v="20"/>
    <x v="0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x v="0"/>
    <n v="562"/>
    <x v="0"/>
    <s v="film &amp; video/documentary"/>
    <n v="214"/>
    <n v="144.69"/>
    <x v="0"/>
    <x v="4"/>
    <x v="387"/>
    <d v="2015-08-15T06:00:00"/>
    <x v="172"/>
    <x v="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x v="0"/>
    <n v="71"/>
    <x v="0"/>
    <s v="film &amp; video/documentary"/>
    <n v="126"/>
    <n v="88.85"/>
    <x v="0"/>
    <x v="4"/>
    <x v="388"/>
    <d v="2016-07-28T01:49:40"/>
    <x v="1"/>
    <x v="2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x v="0"/>
    <n v="1510"/>
    <x v="0"/>
    <s v="film &amp; video/documentary"/>
    <n v="182"/>
    <n v="81.75"/>
    <x v="0"/>
    <x v="4"/>
    <x v="389"/>
    <d v="2014-03-07T22:59:00"/>
    <x v="173"/>
    <x v="3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x v="0"/>
    <n v="14"/>
    <x v="0"/>
    <s v="film &amp; video/documentary"/>
    <n v="100"/>
    <n v="71.430000000000007"/>
    <x v="0"/>
    <x v="4"/>
    <x v="390"/>
    <d v="2015-05-08T00:52:52"/>
    <x v="51"/>
    <x v="0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x v="0"/>
    <n v="193"/>
    <x v="0"/>
    <s v="film &amp; video/documentary"/>
    <n v="101"/>
    <n v="104.26"/>
    <x v="0"/>
    <x v="4"/>
    <x v="391"/>
    <d v="2011-12-18T00:59:00"/>
    <x v="1"/>
    <x v="6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x v="0"/>
    <n v="206"/>
    <x v="0"/>
    <s v="film &amp; video/documentary"/>
    <n v="101"/>
    <n v="90.62"/>
    <x v="0"/>
    <x v="4"/>
    <x v="392"/>
    <d v="2011-09-08T03:00:00"/>
    <x v="174"/>
    <x v="6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x v="0"/>
    <n v="351"/>
    <x v="0"/>
    <s v="film &amp; video/documentary"/>
    <n v="110"/>
    <n v="157.33000000000001"/>
    <x v="0"/>
    <x v="4"/>
    <x v="393"/>
    <d v="2013-10-10T17:00:52"/>
    <x v="102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x v="0"/>
    <n v="50"/>
    <x v="0"/>
    <s v="film &amp; video/documentary"/>
    <n v="112"/>
    <n v="105.18"/>
    <x v="0"/>
    <x v="4"/>
    <x v="394"/>
    <d v="2016-04-17T18:38:02"/>
    <x v="80"/>
    <x v="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x v="0"/>
    <n v="184"/>
    <x v="0"/>
    <s v="film &amp; video/documentary"/>
    <n v="108"/>
    <n v="58.72"/>
    <x v="0"/>
    <x v="4"/>
    <x v="395"/>
    <d v="2012-04-27T21:32:00"/>
    <x v="175"/>
    <x v="5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x v="0"/>
    <n v="196"/>
    <x v="0"/>
    <s v="film &amp; video/documentary"/>
    <n v="107"/>
    <n v="81.63"/>
    <x v="0"/>
    <x v="4"/>
    <x v="396"/>
    <d v="2012-07-07T13:33:26"/>
    <x v="20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x v="0"/>
    <n v="229"/>
    <x v="0"/>
    <s v="film &amp; video/documentary"/>
    <n v="104"/>
    <n v="56.46"/>
    <x v="0"/>
    <x v="4"/>
    <x v="397"/>
    <d v="2010-09-01T03:44:00"/>
    <x v="176"/>
    <x v="7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x v="0"/>
    <n v="67"/>
    <x v="0"/>
    <s v="film &amp; video/documentary"/>
    <n v="125"/>
    <n v="140.1"/>
    <x v="0"/>
    <x v="4"/>
    <x v="398"/>
    <d v="2015-04-29T19:02:06"/>
    <x v="2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x v="0"/>
    <n v="95"/>
    <x v="0"/>
    <s v="film &amp; video/documentary"/>
    <n v="107"/>
    <n v="224.85"/>
    <x v="0"/>
    <x v="4"/>
    <x v="399"/>
    <d v="2016-12-14T12:00:00"/>
    <x v="177"/>
    <x v="2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x v="0"/>
    <n v="62"/>
    <x v="0"/>
    <s v="film &amp; video/documentary"/>
    <n v="112"/>
    <n v="181.13"/>
    <x v="0"/>
    <x v="4"/>
    <x v="400"/>
    <d v="2014-05-17T03:30:00"/>
    <x v="178"/>
    <x v="3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x v="0"/>
    <n v="73"/>
    <x v="0"/>
    <s v="film &amp; video/documentary"/>
    <n v="104"/>
    <n v="711.04"/>
    <x v="0"/>
    <x v="4"/>
    <x v="401"/>
    <d v="2011-08-07T20:12:50"/>
    <x v="1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x v="0"/>
    <n v="43"/>
    <x v="0"/>
    <s v="film &amp; video/documentary"/>
    <n v="142"/>
    <n v="65.88"/>
    <x v="0"/>
    <x v="4"/>
    <x v="402"/>
    <d v="2015-11-05T13:56:57"/>
    <x v="78"/>
    <x v="0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x v="0"/>
    <n v="70"/>
    <x v="0"/>
    <s v="film &amp; video/documentary"/>
    <n v="105"/>
    <n v="75.19"/>
    <x v="0"/>
    <x v="4"/>
    <x v="403"/>
    <d v="2011-08-10T07:08:00"/>
    <x v="179"/>
    <x v="6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x v="0"/>
    <n v="271"/>
    <x v="0"/>
    <s v="film &amp; video/documentary"/>
    <n v="103"/>
    <n v="133.13999999999999"/>
    <x v="0"/>
    <x v="4"/>
    <x v="404"/>
    <d v="2014-02-05T23:04:00"/>
    <x v="180"/>
    <x v="3"/>
  </r>
  <r>
    <x v="405"/>
    <s v="The Healing Effect Movie"/>
    <s v="Come, join our movie movement.  A new documentary about the healing power of food."/>
    <x v="121"/>
    <x v="340"/>
    <x v="0"/>
    <x v="0"/>
    <s v="USD"/>
    <n v="1394071339"/>
    <x v="405"/>
    <x v="0"/>
    <n v="55"/>
    <x v="0"/>
    <s v="film &amp; video/documentary"/>
    <n v="108"/>
    <n v="55.2"/>
    <x v="0"/>
    <x v="4"/>
    <x v="405"/>
    <d v="2014-03-06T02:02:19"/>
    <x v="1"/>
    <x v="3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x v="0"/>
    <n v="35"/>
    <x v="0"/>
    <s v="film &amp; video/documentary"/>
    <n v="108"/>
    <n v="86.16"/>
    <x v="0"/>
    <x v="4"/>
    <x v="406"/>
    <d v="2011-05-09T05:59:00"/>
    <x v="181"/>
    <x v="6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x v="0"/>
    <n v="22"/>
    <x v="0"/>
    <s v="film &amp; video/documentary"/>
    <n v="102"/>
    <n v="92.32"/>
    <x v="0"/>
    <x v="4"/>
    <x v="407"/>
    <d v="2011-11-19T21:54:10"/>
    <x v="27"/>
    <x v="6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x v="0"/>
    <n v="38"/>
    <x v="0"/>
    <s v="film &amp; video/documentary"/>
    <n v="101"/>
    <n v="160.16"/>
    <x v="0"/>
    <x v="4"/>
    <x v="408"/>
    <d v="2013-11-05T18:39:50"/>
    <x v="182"/>
    <x v="4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x v="0"/>
    <n v="15"/>
    <x v="0"/>
    <s v="film &amp; video/documentary"/>
    <n v="137"/>
    <n v="45.6"/>
    <x v="0"/>
    <x v="4"/>
    <x v="409"/>
    <d v="2016-07-22T20:42:24"/>
    <x v="1"/>
    <x v="2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x v="0"/>
    <n v="7"/>
    <x v="0"/>
    <s v="film &amp; video/documentary"/>
    <n v="128"/>
    <n v="183.29"/>
    <x v="0"/>
    <x v="4"/>
    <x v="410"/>
    <d v="2015-06-18T23:33:17"/>
    <x v="14"/>
    <x v="0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x v="0"/>
    <n v="241"/>
    <x v="0"/>
    <s v="film &amp; video/documentary"/>
    <n v="101"/>
    <n v="125.79"/>
    <x v="0"/>
    <x v="4"/>
    <x v="411"/>
    <d v="2013-12-22T05:00:00"/>
    <x v="183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x v="0"/>
    <n v="55"/>
    <x v="0"/>
    <s v="film &amp; video/documentary"/>
    <n v="127"/>
    <n v="57.65"/>
    <x v="0"/>
    <x v="4"/>
    <x v="412"/>
    <d v="2012-07-25T17:49:38"/>
    <x v="184"/>
    <x v="5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x v="0"/>
    <n v="171"/>
    <x v="0"/>
    <s v="film &amp; video/documentary"/>
    <n v="105"/>
    <n v="78.66"/>
    <x v="0"/>
    <x v="4"/>
    <x v="413"/>
    <d v="2012-07-19T21:03:31"/>
    <x v="1"/>
    <x v="5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x v="0"/>
    <n v="208"/>
    <x v="0"/>
    <s v="film &amp; video/documentary"/>
    <n v="103"/>
    <n v="91.48"/>
    <x v="0"/>
    <x v="4"/>
    <x v="414"/>
    <d v="2013-10-12T01:31:05"/>
    <x v="1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x v="0"/>
    <n v="21"/>
    <x v="0"/>
    <s v="film &amp; video/documentary"/>
    <n v="102"/>
    <n v="68.099999999999994"/>
    <x v="0"/>
    <x v="4"/>
    <x v="415"/>
    <d v="2014-10-17T12:00:00"/>
    <x v="185"/>
    <x v="3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x v="0"/>
    <n v="25"/>
    <x v="0"/>
    <s v="film &amp; video/documentary"/>
    <n v="120"/>
    <n v="48.09"/>
    <x v="0"/>
    <x v="4"/>
    <x v="416"/>
    <d v="2014-02-08T09:30:31"/>
    <x v="1"/>
    <x v="3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x v="0"/>
    <n v="52"/>
    <x v="0"/>
    <s v="film &amp; video/documentary"/>
    <n v="100"/>
    <n v="202.42"/>
    <x v="0"/>
    <x v="4"/>
    <x v="417"/>
    <d v="2013-04-08T04:33:00"/>
    <x v="186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x v="0"/>
    <n v="104"/>
    <x v="0"/>
    <s v="film &amp; video/documentary"/>
    <n v="101"/>
    <n v="216.75"/>
    <x v="0"/>
    <x v="4"/>
    <x v="418"/>
    <d v="2015-07-23T06:46:37"/>
    <x v="1"/>
    <x v="0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x v="0"/>
    <n v="73"/>
    <x v="0"/>
    <s v="film &amp; video/documentary"/>
    <n v="100"/>
    <n v="110.07"/>
    <x v="0"/>
    <x v="4"/>
    <x v="419"/>
    <d v="2013-06-29T20:13:07"/>
    <x v="14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x v="0"/>
    <n v="3"/>
    <x v="1"/>
    <s v="film &amp; video/animation"/>
    <n v="0"/>
    <n v="4.83"/>
    <x v="0"/>
    <x v="5"/>
    <x v="420"/>
    <d v="2014-03-14T04:40:31"/>
    <x v="22"/>
    <x v="3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x v="0"/>
    <n v="6"/>
    <x v="1"/>
    <s v="film &amp; video/animation"/>
    <n v="2"/>
    <n v="50.17"/>
    <x v="0"/>
    <x v="5"/>
    <x v="421"/>
    <d v="2015-08-21T11:47:36"/>
    <x v="14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x v="0"/>
    <n v="12"/>
    <x v="1"/>
    <s v="film &amp; video/animation"/>
    <n v="1"/>
    <n v="35.83"/>
    <x v="0"/>
    <x v="5"/>
    <x v="422"/>
    <d v="2014-09-11T06:14:57"/>
    <x v="1"/>
    <x v="3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x v="0"/>
    <n v="13"/>
    <x v="1"/>
    <s v="film &amp; video/animation"/>
    <n v="1"/>
    <n v="11.77"/>
    <x v="0"/>
    <x v="5"/>
    <x v="423"/>
    <d v="2013-06-05T22:13:50"/>
    <x v="1"/>
    <x v="4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x v="0"/>
    <n v="5"/>
    <x v="1"/>
    <s v="film &amp; video/animation"/>
    <n v="7"/>
    <n v="40.78"/>
    <x v="0"/>
    <x v="5"/>
    <x v="424"/>
    <d v="2012-03-26T08:01:39"/>
    <x v="80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x v="0"/>
    <n v="2"/>
    <x v="1"/>
    <s v="film &amp; video/animation"/>
    <n v="0"/>
    <n v="3"/>
    <x v="0"/>
    <x v="5"/>
    <x v="425"/>
    <d v="2015-11-27T21:40:04"/>
    <x v="27"/>
    <x v="0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x v="0"/>
    <n v="8"/>
    <x v="1"/>
    <s v="film &amp; video/animation"/>
    <n v="1"/>
    <n v="16.63"/>
    <x v="0"/>
    <x v="5"/>
    <x v="426"/>
    <d v="2016-03-01T17:05:14"/>
    <x v="1"/>
    <x v="2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x v="0"/>
    <n v="0"/>
    <x v="1"/>
    <s v="film &amp; video/animation"/>
    <n v="0"/>
    <n v="0"/>
    <x v="0"/>
    <x v="5"/>
    <x v="427"/>
    <d v="2015-10-22T18:59:00"/>
    <x v="187"/>
    <x v="0"/>
  </r>
  <r>
    <x v="428"/>
    <s v="Little Clay Bible - Zacchaeus"/>
    <s v="Fresh, fun, entertaining Bible stories on YouTube, stop-motion style."/>
    <x v="14"/>
    <x v="362"/>
    <x v="2"/>
    <x v="0"/>
    <s v="USD"/>
    <n v="1402956000"/>
    <x v="428"/>
    <x v="0"/>
    <n v="13"/>
    <x v="1"/>
    <s v="film &amp; video/animation"/>
    <n v="6"/>
    <n v="52"/>
    <x v="0"/>
    <x v="5"/>
    <x v="428"/>
    <d v="2014-06-16T22:00:00"/>
    <x v="188"/>
    <x v="3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x v="0"/>
    <n v="0"/>
    <x v="1"/>
    <s v="film &amp; video/animation"/>
    <n v="0"/>
    <n v="0"/>
    <x v="0"/>
    <x v="5"/>
    <x v="429"/>
    <d v="2009-11-27T04:59:00"/>
    <x v="189"/>
    <x v="8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x v="0"/>
    <n v="5"/>
    <x v="1"/>
    <s v="film &amp; video/animation"/>
    <n v="2"/>
    <n v="4.8"/>
    <x v="0"/>
    <x v="5"/>
    <x v="430"/>
    <d v="2013-09-11T02:34:27"/>
    <x v="20"/>
    <x v="4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x v="0"/>
    <n v="8"/>
    <x v="1"/>
    <s v="film &amp; video/animation"/>
    <n v="14"/>
    <n v="51.88"/>
    <x v="0"/>
    <x v="5"/>
    <x v="431"/>
    <d v="2016-07-05T20:54:43"/>
    <x v="1"/>
    <x v="2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x v="0"/>
    <n v="8"/>
    <x v="1"/>
    <s v="film &amp; video/animation"/>
    <n v="10"/>
    <n v="71.25"/>
    <x v="0"/>
    <x v="5"/>
    <x v="432"/>
    <d v="2015-10-21T17:26:21"/>
    <x v="14"/>
    <x v="0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x v="0"/>
    <n v="0"/>
    <x v="1"/>
    <s v="film &amp; video/animation"/>
    <n v="0"/>
    <n v="0"/>
    <x v="0"/>
    <x v="5"/>
    <x v="433"/>
    <d v="2015-10-11T15:07:02"/>
    <x v="14"/>
    <x v="0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x v="0"/>
    <n v="2"/>
    <x v="1"/>
    <s v="film &amp; video/animation"/>
    <n v="5"/>
    <n v="62.5"/>
    <x v="0"/>
    <x v="5"/>
    <x v="434"/>
    <d v="2013-12-01T21:01:42"/>
    <x v="190"/>
    <x v="4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x v="0"/>
    <n v="3"/>
    <x v="1"/>
    <s v="film &amp; video/animation"/>
    <n v="0"/>
    <n v="1"/>
    <x v="0"/>
    <x v="5"/>
    <x v="435"/>
    <d v="2013-09-13T17:56:20"/>
    <x v="1"/>
    <x v="4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x v="0"/>
    <n v="0"/>
    <x v="1"/>
    <s v="film &amp; video/animation"/>
    <n v="0"/>
    <n v="0"/>
    <x v="0"/>
    <x v="5"/>
    <x v="436"/>
    <d v="2013-07-31T08:41:53"/>
    <x v="1"/>
    <x v="4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x v="0"/>
    <n v="0"/>
    <x v="1"/>
    <s v="film &amp; video/animation"/>
    <n v="0"/>
    <n v="0"/>
    <x v="0"/>
    <x v="5"/>
    <x v="437"/>
    <d v="2016-10-08T07:38:46"/>
    <x v="14"/>
    <x v="2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x v="0"/>
    <n v="11"/>
    <x v="1"/>
    <s v="film &amp; video/animation"/>
    <n v="9"/>
    <n v="170.55"/>
    <x v="0"/>
    <x v="5"/>
    <x v="438"/>
    <d v="2015-11-18T07:15:58"/>
    <x v="13"/>
    <x v="0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x v="0"/>
    <n v="0"/>
    <x v="1"/>
    <s v="film &amp; video/animation"/>
    <n v="0"/>
    <n v="0"/>
    <x v="0"/>
    <x v="5"/>
    <x v="439"/>
    <d v="2014-10-17T18:16:58"/>
    <x v="2"/>
    <x v="3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x v="440"/>
    <x v="0"/>
    <n v="1"/>
    <x v="1"/>
    <s v="film &amp; video/animation"/>
    <n v="0"/>
    <n v="5"/>
    <x v="0"/>
    <x v="5"/>
    <x v="440"/>
    <d v="2016-03-24T22:39:13"/>
    <x v="22"/>
    <x v="2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x v="0"/>
    <n v="0"/>
    <x v="1"/>
    <s v="film &amp; video/animation"/>
    <n v="0"/>
    <n v="0"/>
    <x v="0"/>
    <x v="5"/>
    <x v="441"/>
    <d v="2013-11-02T19:03:16"/>
    <x v="1"/>
    <x v="4"/>
  </r>
  <r>
    <x v="442"/>
    <s v="The Paranormal Idiot"/>
    <s v="Doomsday is here"/>
    <x v="73"/>
    <x v="368"/>
    <x v="2"/>
    <x v="0"/>
    <s v="USD"/>
    <n v="1424380783"/>
    <x v="442"/>
    <x v="0"/>
    <n v="17"/>
    <x v="1"/>
    <s v="film &amp; video/animation"/>
    <n v="39"/>
    <n v="393.59"/>
    <x v="0"/>
    <x v="5"/>
    <x v="442"/>
    <d v="2015-02-19T21:19:43"/>
    <x v="1"/>
    <x v="0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x v="0"/>
    <n v="2"/>
    <x v="1"/>
    <s v="film &amp; video/animation"/>
    <n v="0"/>
    <n v="5"/>
    <x v="0"/>
    <x v="5"/>
    <x v="443"/>
    <d v="2014-02-10T00:21:41"/>
    <x v="1"/>
    <x v="3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x v="0"/>
    <n v="1"/>
    <x v="1"/>
    <s v="film &amp; video/animation"/>
    <n v="5"/>
    <n v="50"/>
    <x v="0"/>
    <x v="5"/>
    <x v="444"/>
    <d v="2012-02-15T21:46:01"/>
    <x v="14"/>
    <x v="6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x v="0"/>
    <n v="2"/>
    <x v="1"/>
    <s v="film &amp; video/animation"/>
    <n v="0"/>
    <n v="1"/>
    <x v="0"/>
    <x v="5"/>
    <x v="445"/>
    <d v="2015-05-21T08:02:55"/>
    <x v="20"/>
    <x v="0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x v="0"/>
    <n v="16"/>
    <x v="1"/>
    <s v="film &amp; video/animation"/>
    <n v="7"/>
    <n v="47.88"/>
    <x v="0"/>
    <x v="5"/>
    <x v="446"/>
    <d v="2015-03-04T02:00:20"/>
    <x v="1"/>
    <x v="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x v="0"/>
    <n v="1"/>
    <x v="1"/>
    <s v="film &amp; video/animation"/>
    <n v="0"/>
    <n v="5"/>
    <x v="0"/>
    <x v="5"/>
    <x v="447"/>
    <d v="2013-03-23T12:19:23"/>
    <x v="191"/>
    <x v="4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x v="0"/>
    <n v="4"/>
    <x v="1"/>
    <s v="film &amp; video/animation"/>
    <n v="3"/>
    <n v="20.5"/>
    <x v="0"/>
    <x v="5"/>
    <x v="448"/>
    <d v="2014-05-14T18:11:35"/>
    <x v="51"/>
    <x v="3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x v="0"/>
    <n v="5"/>
    <x v="1"/>
    <s v="film &amp; video/animation"/>
    <n v="2"/>
    <n v="9"/>
    <x v="0"/>
    <x v="5"/>
    <x v="449"/>
    <d v="2013-10-17T13:38:05"/>
    <x v="1"/>
    <x v="4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x v="0"/>
    <n v="7"/>
    <x v="1"/>
    <s v="film &amp; video/animation"/>
    <n v="1"/>
    <n v="56.57"/>
    <x v="0"/>
    <x v="5"/>
    <x v="450"/>
    <d v="2014-02-14T22:43:20"/>
    <x v="1"/>
    <x v="3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x v="0"/>
    <n v="0"/>
    <x v="1"/>
    <s v="film &amp; video/animation"/>
    <n v="0"/>
    <n v="0"/>
    <x v="0"/>
    <x v="5"/>
    <x v="451"/>
    <d v="2014-01-25T17:09:51"/>
    <x v="1"/>
    <x v="4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x v="452"/>
    <x v="0"/>
    <n v="12"/>
    <x v="1"/>
    <s v="film &amp; video/animation"/>
    <n v="64"/>
    <n v="40"/>
    <x v="0"/>
    <x v="5"/>
    <x v="452"/>
    <d v="2015-05-13T16:53:35"/>
    <x v="1"/>
    <x v="0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x v="0"/>
    <n v="2"/>
    <x v="1"/>
    <s v="film &amp; video/animation"/>
    <n v="0"/>
    <n v="13"/>
    <x v="0"/>
    <x v="5"/>
    <x v="453"/>
    <d v="2015-02-19T19:47:59"/>
    <x v="184"/>
    <x v="0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x v="0"/>
    <n v="5"/>
    <x v="1"/>
    <s v="film &amp; video/animation"/>
    <n v="1"/>
    <n v="16.399999999999999"/>
    <x v="0"/>
    <x v="5"/>
    <x v="454"/>
    <d v="2014-11-26T13:14:00"/>
    <x v="192"/>
    <x v="3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x v="0"/>
    <n v="2"/>
    <x v="1"/>
    <s v="film &amp; video/animation"/>
    <n v="0"/>
    <n v="22.5"/>
    <x v="0"/>
    <x v="5"/>
    <x v="455"/>
    <d v="2012-04-17T00:31:00"/>
    <x v="193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x v="0"/>
    <n v="3"/>
    <x v="1"/>
    <s v="film &amp; video/animation"/>
    <n v="1"/>
    <n v="20.329999999999998"/>
    <x v="0"/>
    <x v="5"/>
    <x v="456"/>
    <d v="2013-10-22T03:59:00"/>
    <x v="194"/>
    <x v="4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x v="0"/>
    <n v="0"/>
    <x v="1"/>
    <s v="film &amp; video/animation"/>
    <n v="0"/>
    <n v="0"/>
    <x v="0"/>
    <x v="5"/>
    <x v="457"/>
    <d v="2014-08-16T18:25:12"/>
    <x v="1"/>
    <x v="3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x v="0"/>
    <n v="49"/>
    <x v="1"/>
    <s v="film &amp; video/animation"/>
    <n v="8"/>
    <n v="16.760000000000002"/>
    <x v="0"/>
    <x v="5"/>
    <x v="458"/>
    <d v="2013-05-14T16:47:40"/>
    <x v="1"/>
    <x v="4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x v="0"/>
    <n v="1"/>
    <x v="1"/>
    <s v="film &amp; video/animation"/>
    <n v="0"/>
    <n v="25"/>
    <x v="0"/>
    <x v="5"/>
    <x v="459"/>
    <d v="2011-11-13T16:22:07"/>
    <x v="27"/>
    <x v="6"/>
  </r>
  <r>
    <x v="460"/>
    <s v="Darwin's Kiss"/>
    <s v="An animated web series about biological evolution gone haywire."/>
    <x v="0"/>
    <x v="379"/>
    <x v="2"/>
    <x v="0"/>
    <s v="USD"/>
    <n v="1401595200"/>
    <x v="460"/>
    <x v="0"/>
    <n v="2"/>
    <x v="1"/>
    <s v="film &amp; video/animation"/>
    <n v="0"/>
    <n v="12.5"/>
    <x v="0"/>
    <x v="5"/>
    <x v="460"/>
    <d v="2014-06-01T04:00:00"/>
    <x v="195"/>
    <x v="3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x v="0"/>
    <n v="0"/>
    <x v="1"/>
    <s v="film &amp; video/animation"/>
    <n v="0"/>
    <n v="0"/>
    <x v="0"/>
    <x v="5"/>
    <x v="461"/>
    <d v="2013-06-02T20:19:27"/>
    <x v="51"/>
    <x v="4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x v="0"/>
    <n v="0"/>
    <x v="1"/>
    <s v="film &amp; video/animation"/>
    <n v="0"/>
    <n v="0"/>
    <x v="0"/>
    <x v="5"/>
    <x v="462"/>
    <d v="2011-08-10T03:02:21"/>
    <x v="14"/>
    <x v="6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x v="0"/>
    <n v="11"/>
    <x v="1"/>
    <s v="film &amp; video/animation"/>
    <n v="2"/>
    <n v="113.64"/>
    <x v="0"/>
    <x v="5"/>
    <x v="463"/>
    <d v="2011-09-24T17:02:33"/>
    <x v="14"/>
    <x v="6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x v="0"/>
    <n v="1"/>
    <x v="1"/>
    <s v="film &amp; video/animation"/>
    <n v="0"/>
    <n v="1"/>
    <x v="0"/>
    <x v="5"/>
    <x v="464"/>
    <d v="2016-05-18T20:22:15"/>
    <x v="51"/>
    <x v="2"/>
  </r>
  <r>
    <x v="465"/>
    <s v="&quot;Amp&quot; A Story About a Robot"/>
    <s v="&quot;Amp&quot; is a short film about a robot with needs."/>
    <x v="133"/>
    <x v="381"/>
    <x v="2"/>
    <x v="0"/>
    <s v="USD"/>
    <n v="1403837574"/>
    <x v="465"/>
    <x v="0"/>
    <n v="8"/>
    <x v="1"/>
    <s v="film &amp; video/animation"/>
    <n v="27"/>
    <n v="17.25"/>
    <x v="0"/>
    <x v="5"/>
    <x v="465"/>
    <d v="2014-06-27T02:52:54"/>
    <x v="184"/>
    <x v="3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x v="0"/>
    <n v="5"/>
    <x v="1"/>
    <s v="film &amp; video/animation"/>
    <n v="1"/>
    <n v="15.2"/>
    <x v="0"/>
    <x v="5"/>
    <x v="466"/>
    <d v="2012-09-07T22:37:44"/>
    <x v="1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x v="0"/>
    <n v="39"/>
    <x v="1"/>
    <s v="film &amp; video/animation"/>
    <n v="22"/>
    <n v="110.64"/>
    <x v="0"/>
    <x v="5"/>
    <x v="467"/>
    <d v="2012-09-28T16:18:54"/>
    <x v="26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x v="0"/>
    <n v="0"/>
    <x v="1"/>
    <s v="film &amp; video/animation"/>
    <n v="0"/>
    <n v="0"/>
    <x v="0"/>
    <x v="5"/>
    <x v="468"/>
    <d v="2012-07-11T03:51:05"/>
    <x v="196"/>
    <x v="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x v="469"/>
    <x v="0"/>
    <n v="0"/>
    <x v="1"/>
    <s v="film &amp; video/animation"/>
    <n v="0"/>
    <n v="0"/>
    <x v="0"/>
    <x v="5"/>
    <x v="469"/>
    <d v="2014-09-05T23:45:24"/>
    <x v="14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x v="0"/>
    <n v="2"/>
    <x v="1"/>
    <s v="film &amp; video/animation"/>
    <n v="1"/>
    <n v="25.5"/>
    <x v="0"/>
    <x v="5"/>
    <x v="470"/>
    <d v="2014-01-16T04:00:00"/>
    <x v="76"/>
    <x v="4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x v="0"/>
    <n v="170"/>
    <x v="1"/>
    <s v="film &amp; video/animation"/>
    <n v="12"/>
    <n v="38.479999999999997"/>
    <x v="0"/>
    <x v="5"/>
    <x v="471"/>
    <d v="2014-04-19T16:19:39"/>
    <x v="129"/>
    <x v="3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x v="0"/>
    <n v="5"/>
    <x v="1"/>
    <s v="film &amp; video/animation"/>
    <n v="18"/>
    <n v="28.2"/>
    <x v="0"/>
    <x v="5"/>
    <x v="472"/>
    <d v="2014-08-23T22:08:38"/>
    <x v="1"/>
    <x v="3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x v="0"/>
    <n v="14"/>
    <x v="1"/>
    <s v="film &amp; video/animation"/>
    <n v="3"/>
    <n v="61.5"/>
    <x v="0"/>
    <x v="5"/>
    <x v="473"/>
    <d v="2014-09-17T16:45:19"/>
    <x v="1"/>
    <x v="3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x v="0"/>
    <n v="1"/>
    <x v="1"/>
    <s v="film &amp; video/animation"/>
    <n v="0"/>
    <n v="1"/>
    <x v="0"/>
    <x v="5"/>
    <x v="474"/>
    <d v="2017-02-17T07:53:49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x v="0"/>
    <n v="0"/>
    <x v="1"/>
    <s v="film &amp; video/animation"/>
    <n v="0"/>
    <n v="0"/>
    <x v="0"/>
    <x v="5"/>
    <x v="475"/>
    <d v="2015-05-06T02:04:03"/>
    <x v="1"/>
    <x v="0"/>
  </r>
  <r>
    <x v="476"/>
    <s v="Sight Word Music Videos"/>
    <s v="Animated Music Videos that teach kids how to read."/>
    <x v="135"/>
    <x v="387"/>
    <x v="2"/>
    <x v="0"/>
    <s v="USD"/>
    <n v="1401767940"/>
    <x v="476"/>
    <x v="0"/>
    <n v="124"/>
    <x v="1"/>
    <s v="film &amp; video/animation"/>
    <n v="2"/>
    <n v="39.57"/>
    <x v="0"/>
    <x v="5"/>
    <x v="476"/>
    <d v="2014-06-03T03:59:00"/>
    <x v="197"/>
    <x v="3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x v="0"/>
    <n v="0"/>
    <x v="1"/>
    <s v="film &amp; video/animation"/>
    <n v="0"/>
    <n v="0"/>
    <x v="0"/>
    <x v="5"/>
    <x v="477"/>
    <d v="2012-05-18T20:02:14"/>
    <x v="14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x v="0"/>
    <n v="0"/>
    <x v="1"/>
    <s v="film &amp; video/animation"/>
    <n v="0"/>
    <n v="0"/>
    <x v="0"/>
    <x v="5"/>
    <x v="478"/>
    <d v="2015-04-01T20:51:49"/>
    <x v="22"/>
    <x v="0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x v="0"/>
    <n v="55"/>
    <x v="1"/>
    <s v="film &amp; video/animation"/>
    <n v="33"/>
    <n v="88.8"/>
    <x v="0"/>
    <x v="5"/>
    <x v="479"/>
    <d v="2014-11-21T10:47:15"/>
    <x v="27"/>
    <x v="3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x v="0"/>
    <n v="140"/>
    <x v="1"/>
    <s v="film &amp; video/animation"/>
    <n v="19"/>
    <n v="55.46"/>
    <x v="0"/>
    <x v="5"/>
    <x v="480"/>
    <d v="2013-08-09T12:00:15"/>
    <x v="1"/>
    <x v="4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x v="0"/>
    <n v="21"/>
    <x v="1"/>
    <s v="film &amp; video/animation"/>
    <n v="6"/>
    <n v="87.14"/>
    <x v="0"/>
    <x v="5"/>
    <x v="481"/>
    <d v="2012-10-10T16:08:09"/>
    <x v="1"/>
    <x v="5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x v="0"/>
    <n v="1"/>
    <x v="1"/>
    <s v="film &amp; video/animation"/>
    <n v="0"/>
    <n v="10"/>
    <x v="0"/>
    <x v="5"/>
    <x v="482"/>
    <d v="2016-04-14T14:34:00"/>
    <x v="198"/>
    <x v="2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x v="0"/>
    <n v="147"/>
    <x v="1"/>
    <s v="film &amp; video/animation"/>
    <n v="50"/>
    <n v="51.22"/>
    <x v="0"/>
    <x v="5"/>
    <x v="483"/>
    <d v="2013-01-29T04:44:32"/>
    <x v="14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x v="0"/>
    <n v="11"/>
    <x v="1"/>
    <s v="film &amp; video/animation"/>
    <n v="0"/>
    <n v="13.55"/>
    <x v="0"/>
    <x v="5"/>
    <x v="484"/>
    <d v="2015-11-05T23:32:52"/>
    <x v="199"/>
    <x v="0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x v="0"/>
    <n v="125"/>
    <x v="1"/>
    <s v="film &amp; video/animation"/>
    <n v="22"/>
    <n v="66.52"/>
    <x v="0"/>
    <x v="5"/>
    <x v="485"/>
    <d v="2013-05-17T12:08:19"/>
    <x v="1"/>
    <x v="4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x v="0"/>
    <n v="1"/>
    <x v="1"/>
    <s v="film &amp; video/animation"/>
    <n v="0"/>
    <n v="50"/>
    <x v="0"/>
    <x v="5"/>
    <x v="486"/>
    <d v="2014-06-01T22:37:19"/>
    <x v="1"/>
    <x v="3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x v="0"/>
    <n v="0"/>
    <x v="1"/>
    <s v="film &amp; video/animation"/>
    <n v="0"/>
    <n v="0"/>
    <x v="0"/>
    <x v="5"/>
    <x v="487"/>
    <d v="2016-12-25T15:16:34"/>
    <x v="27"/>
    <x v="2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x v="0"/>
    <n v="0"/>
    <x v="1"/>
    <s v="film &amp; video/animation"/>
    <n v="0"/>
    <n v="0"/>
    <x v="0"/>
    <x v="5"/>
    <x v="488"/>
    <d v="2017-01-09T01:18:20"/>
    <x v="1"/>
    <x v="2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x v="0"/>
    <n v="3"/>
    <x v="1"/>
    <s v="film &amp; video/animation"/>
    <n v="0"/>
    <n v="71.67"/>
    <x v="0"/>
    <x v="5"/>
    <x v="489"/>
    <d v="2012-01-05T11:33:00"/>
    <x v="102"/>
    <x v="6"/>
  </r>
  <r>
    <x v="490"/>
    <s v="PROJECT IS CANCELLED"/>
    <s v="Cancelled"/>
    <x v="28"/>
    <x v="117"/>
    <x v="2"/>
    <x v="0"/>
    <s v="USD"/>
    <n v="1345677285"/>
    <x v="490"/>
    <x v="0"/>
    <n v="0"/>
    <x v="1"/>
    <s v="film &amp; video/animation"/>
    <n v="0"/>
    <n v="0"/>
    <x v="0"/>
    <x v="5"/>
    <x v="490"/>
    <d v="2012-08-22T23:14:45"/>
    <x v="1"/>
    <x v="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x v="0"/>
    <n v="0"/>
    <x v="1"/>
    <s v="film &amp; video/animation"/>
    <n v="0"/>
    <n v="0"/>
    <x v="0"/>
    <x v="5"/>
    <x v="491"/>
    <d v="2016-01-27T23:34:59"/>
    <x v="1"/>
    <x v="0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x v="0"/>
    <n v="0"/>
    <x v="1"/>
    <s v="film &amp; video/animation"/>
    <n v="0"/>
    <n v="0"/>
    <x v="0"/>
    <x v="5"/>
    <x v="492"/>
    <d v="2016-10-13T00:50:30"/>
    <x v="14"/>
    <x v="2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x v="0"/>
    <n v="0"/>
    <x v="1"/>
    <s v="film &amp; video/animation"/>
    <n v="0"/>
    <n v="0"/>
    <x v="0"/>
    <x v="5"/>
    <x v="493"/>
    <d v="2015-05-20T17:25:38"/>
    <x v="1"/>
    <x v="0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x v="0"/>
    <n v="3"/>
    <x v="1"/>
    <s v="film &amp; video/animation"/>
    <n v="0"/>
    <n v="10.33"/>
    <x v="0"/>
    <x v="5"/>
    <x v="494"/>
    <d v="2014-07-03T03:00:00"/>
    <x v="200"/>
    <x v="3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x v="0"/>
    <n v="0"/>
    <x v="1"/>
    <s v="film &amp; video/animation"/>
    <n v="0"/>
    <n v="0"/>
    <x v="0"/>
    <x v="5"/>
    <x v="495"/>
    <d v="2015-07-16T19:51:45"/>
    <x v="1"/>
    <x v="0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x v="0"/>
    <n v="1"/>
    <x v="1"/>
    <s v="film &amp; video/animation"/>
    <n v="0"/>
    <n v="1"/>
    <x v="0"/>
    <x v="5"/>
    <x v="496"/>
    <d v="2014-02-10T22:21:14"/>
    <x v="14"/>
    <x v="4"/>
  </r>
  <r>
    <x v="497"/>
    <s v="Galaxy Probe Kids"/>
    <s v="live-action/animated series pilot."/>
    <x v="140"/>
    <x v="134"/>
    <x v="2"/>
    <x v="0"/>
    <s v="USD"/>
    <n v="1419483600"/>
    <x v="497"/>
    <x v="0"/>
    <n v="3"/>
    <x v="1"/>
    <s v="film &amp; video/animation"/>
    <n v="1"/>
    <n v="10"/>
    <x v="0"/>
    <x v="5"/>
    <x v="497"/>
    <d v="2014-12-25T05:00:00"/>
    <x v="201"/>
    <x v="3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x v="0"/>
    <n v="22"/>
    <x v="1"/>
    <s v="film &amp; video/animation"/>
    <n v="5"/>
    <n v="136.09"/>
    <x v="0"/>
    <x v="5"/>
    <x v="498"/>
    <d v="2011-12-23T18:17:29"/>
    <x v="202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x v="0"/>
    <n v="26"/>
    <x v="1"/>
    <s v="film &amp; video/animation"/>
    <n v="10"/>
    <n v="73.459999999999994"/>
    <x v="0"/>
    <x v="5"/>
    <x v="499"/>
    <d v="2009-10-12T20:59:00"/>
    <x v="203"/>
    <x v="8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x v="0"/>
    <n v="4"/>
    <x v="1"/>
    <s v="film &amp; video/animation"/>
    <n v="3"/>
    <n v="53.75"/>
    <x v="0"/>
    <x v="5"/>
    <x v="500"/>
    <d v="2010-05-08T22:16:00"/>
    <x v="204"/>
    <x v="7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x v="0"/>
    <n v="0"/>
    <x v="1"/>
    <s v="film &amp; video/animation"/>
    <n v="0"/>
    <n v="0"/>
    <x v="0"/>
    <x v="5"/>
    <x v="501"/>
    <d v="2011-07-09T05:37:31"/>
    <x v="1"/>
    <x v="6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x v="0"/>
    <n v="4"/>
    <x v="1"/>
    <s v="film &amp; video/animation"/>
    <n v="1"/>
    <n v="57.5"/>
    <x v="0"/>
    <x v="5"/>
    <x v="502"/>
    <d v="2012-03-18T12:17:05"/>
    <x v="22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x v="0"/>
    <n v="9"/>
    <x v="1"/>
    <s v="film &amp; video/animation"/>
    <n v="2"/>
    <n v="12.67"/>
    <x v="0"/>
    <x v="5"/>
    <x v="503"/>
    <d v="2015-01-17T12:38:23"/>
    <x v="1"/>
    <x v="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x v="0"/>
    <n v="5"/>
    <x v="1"/>
    <s v="film &amp; video/animation"/>
    <n v="1"/>
    <n v="67"/>
    <x v="0"/>
    <x v="5"/>
    <x v="504"/>
    <d v="2012-04-10T22:36:27"/>
    <x v="80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x v="0"/>
    <n v="14"/>
    <x v="1"/>
    <s v="film &amp; video/animation"/>
    <n v="0"/>
    <n v="3.71"/>
    <x v="0"/>
    <x v="5"/>
    <x v="505"/>
    <d v="2015-12-25T02:21:26"/>
    <x v="26"/>
    <x v="0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x v="0"/>
    <n v="1"/>
    <x v="1"/>
    <s v="film &amp; video/animation"/>
    <n v="0"/>
    <n v="250"/>
    <x v="0"/>
    <x v="5"/>
    <x v="506"/>
    <d v="2013-08-10T13:15:20"/>
    <x v="1"/>
    <x v="4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x v="0"/>
    <n v="10"/>
    <x v="1"/>
    <s v="film &amp; video/animation"/>
    <n v="3"/>
    <n v="64"/>
    <x v="0"/>
    <x v="5"/>
    <x v="507"/>
    <d v="2012-10-19T23:00:57"/>
    <x v="26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x v="0"/>
    <n v="3"/>
    <x v="1"/>
    <s v="film &amp; video/animation"/>
    <n v="1"/>
    <n v="133.33000000000001"/>
    <x v="0"/>
    <x v="5"/>
    <x v="508"/>
    <d v="2012-05-25T14:14:00"/>
    <x v="205"/>
    <x v="5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x v="0"/>
    <n v="1"/>
    <x v="1"/>
    <s v="film &amp; video/animation"/>
    <n v="0"/>
    <n v="10"/>
    <x v="0"/>
    <x v="5"/>
    <x v="509"/>
    <d v="2015-06-28T15:09:30"/>
    <x v="1"/>
    <x v="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x v="0"/>
    <n v="0"/>
    <x v="1"/>
    <s v="film &amp; video/animation"/>
    <n v="0"/>
    <n v="0"/>
    <x v="0"/>
    <x v="5"/>
    <x v="510"/>
    <d v="2016-03-01T04:13:59"/>
    <x v="1"/>
    <x v="2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x v="0"/>
    <n v="5"/>
    <x v="1"/>
    <s v="film &amp; video/animation"/>
    <n v="3"/>
    <n v="30"/>
    <x v="0"/>
    <x v="5"/>
    <x v="511"/>
    <d v="2013-04-06T06:16:22"/>
    <x v="22"/>
    <x v="4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x v="0"/>
    <n v="2"/>
    <x v="1"/>
    <s v="film &amp; video/animation"/>
    <n v="0"/>
    <n v="5.5"/>
    <x v="0"/>
    <x v="5"/>
    <x v="512"/>
    <d v="2016-11-20T18:48:47"/>
    <x v="71"/>
    <x v="2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x v="0"/>
    <n v="68"/>
    <x v="1"/>
    <s v="film &amp; video/animation"/>
    <n v="14"/>
    <n v="102.38"/>
    <x v="0"/>
    <x v="5"/>
    <x v="513"/>
    <d v="2016-08-15T07:00:00"/>
    <x v="206"/>
    <x v="2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x v="0"/>
    <n v="3"/>
    <x v="1"/>
    <s v="film &amp; video/animation"/>
    <n v="3"/>
    <n v="16.670000000000002"/>
    <x v="0"/>
    <x v="5"/>
    <x v="514"/>
    <d v="2014-08-09T14:44:07"/>
    <x v="1"/>
    <x v="3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x v="0"/>
    <n v="34"/>
    <x v="1"/>
    <s v="film &amp; video/animation"/>
    <n v="25"/>
    <n v="725.03"/>
    <x v="0"/>
    <x v="5"/>
    <x v="515"/>
    <d v="2015-12-29T11:46:41"/>
    <x v="4"/>
    <x v="0"/>
  </r>
  <r>
    <x v="516"/>
    <s v="Shipmates"/>
    <s v="A big brother style comedy animation series starring famous seafarers"/>
    <x v="10"/>
    <x v="117"/>
    <x v="2"/>
    <x v="1"/>
    <s v="GBP"/>
    <n v="1432752080"/>
    <x v="516"/>
    <x v="0"/>
    <n v="0"/>
    <x v="1"/>
    <s v="film &amp; video/animation"/>
    <n v="0"/>
    <n v="0"/>
    <x v="0"/>
    <x v="5"/>
    <x v="516"/>
    <d v="2015-05-27T18:41:20"/>
    <x v="14"/>
    <x v="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x v="0"/>
    <n v="3"/>
    <x v="1"/>
    <s v="film &amp; video/animation"/>
    <n v="1"/>
    <n v="68.33"/>
    <x v="0"/>
    <x v="5"/>
    <x v="517"/>
    <d v="2017-02-02T14:46:01"/>
    <x v="1"/>
    <x v="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x v="0"/>
    <n v="0"/>
    <x v="1"/>
    <s v="film &amp; video/animation"/>
    <n v="0"/>
    <n v="0"/>
    <x v="0"/>
    <x v="5"/>
    <x v="518"/>
    <d v="2015-09-06T14:46:00"/>
    <x v="1"/>
    <x v="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x v="0"/>
    <n v="70"/>
    <x v="1"/>
    <s v="film &amp; video/animation"/>
    <n v="23"/>
    <n v="39.229999999999997"/>
    <x v="0"/>
    <x v="5"/>
    <x v="519"/>
    <d v="2012-12-05T09:23:41"/>
    <x v="1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x v="0"/>
    <n v="34"/>
    <x v="0"/>
    <s v="theater/plays"/>
    <n v="102"/>
    <n v="150.15"/>
    <x v="1"/>
    <x v="6"/>
    <x v="520"/>
    <d v="2015-12-10T16:51:01"/>
    <x v="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x v="0"/>
    <n v="56"/>
    <x v="0"/>
    <s v="theater/plays"/>
    <n v="105"/>
    <n v="93.43"/>
    <x v="1"/>
    <x v="6"/>
    <x v="521"/>
    <d v="2016-11-01T04:59:00"/>
    <x v="207"/>
    <x v="2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x v="0"/>
    <n v="31"/>
    <x v="0"/>
    <s v="theater/plays"/>
    <n v="115"/>
    <n v="110.97"/>
    <x v="1"/>
    <x v="6"/>
    <x v="522"/>
    <d v="2016-03-20T23:58:45"/>
    <x v="138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x v="0"/>
    <n v="84"/>
    <x v="0"/>
    <s v="theater/plays"/>
    <n v="121"/>
    <n v="71.790000000000006"/>
    <x v="1"/>
    <x v="6"/>
    <x v="523"/>
    <d v="2015-09-21T03:11:16"/>
    <x v="1"/>
    <x v="0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x v="0"/>
    <n v="130"/>
    <x v="0"/>
    <s v="theater/plays"/>
    <n v="109"/>
    <n v="29.26"/>
    <x v="1"/>
    <x v="6"/>
    <x v="524"/>
    <d v="2016-06-01T17:12:49"/>
    <x v="1"/>
    <x v="2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x v="0"/>
    <n v="12"/>
    <x v="0"/>
    <s v="theater/plays"/>
    <n v="100"/>
    <n v="1000"/>
    <x v="1"/>
    <x v="6"/>
    <x v="525"/>
    <d v="2014-09-13T09:37:21"/>
    <x v="26"/>
    <x v="3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x v="0"/>
    <n v="23"/>
    <x v="0"/>
    <s v="theater/plays"/>
    <n v="114"/>
    <n v="74.349999999999994"/>
    <x v="1"/>
    <x v="6"/>
    <x v="526"/>
    <d v="2015-08-07T17:00:00"/>
    <x v="0"/>
    <x v="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x v="0"/>
    <n v="158"/>
    <x v="0"/>
    <s v="theater/plays"/>
    <n v="101"/>
    <n v="63.83"/>
    <x v="1"/>
    <x v="6"/>
    <x v="527"/>
    <d v="2017-02-17T16:05:00"/>
    <x v="208"/>
    <x v="1"/>
  </r>
  <r>
    <x v="528"/>
    <s v="Devastated No Matter What"/>
    <s v="A Festival Backed Production of a Full-Length Play."/>
    <x v="146"/>
    <x v="414"/>
    <x v="0"/>
    <x v="0"/>
    <s v="USD"/>
    <n v="1434921600"/>
    <x v="528"/>
    <x v="0"/>
    <n v="30"/>
    <x v="0"/>
    <s v="theater/plays"/>
    <n v="116"/>
    <n v="44.33"/>
    <x v="1"/>
    <x v="6"/>
    <x v="528"/>
    <d v="2015-06-21T21:20:00"/>
    <x v="209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x v="0"/>
    <n v="18"/>
    <x v="0"/>
    <s v="theater/plays"/>
    <n v="130"/>
    <n v="86.94"/>
    <x v="1"/>
    <x v="6"/>
    <x v="529"/>
    <d v="2017-01-11T05:00:00"/>
    <x v="210"/>
    <x v="2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x v="0"/>
    <n v="29"/>
    <x v="0"/>
    <s v="theater/plays"/>
    <n v="108"/>
    <n v="126.55"/>
    <x v="1"/>
    <x v="6"/>
    <x v="530"/>
    <d v="2015-06-24T02:00:00"/>
    <x v="211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x v="0"/>
    <n v="31"/>
    <x v="0"/>
    <s v="theater/plays"/>
    <n v="100"/>
    <n v="129.03"/>
    <x v="1"/>
    <x v="6"/>
    <x v="531"/>
    <d v="2016-12-17T06:59:00"/>
    <x v="212"/>
    <x v="2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x v="0"/>
    <n v="173"/>
    <x v="0"/>
    <s v="theater/plays"/>
    <n v="123"/>
    <n v="71.239999999999995"/>
    <x v="1"/>
    <x v="6"/>
    <x v="532"/>
    <d v="2016-05-13T00:10:08"/>
    <x v="1"/>
    <x v="2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x v="0"/>
    <n v="17"/>
    <x v="0"/>
    <s v="theater/plays"/>
    <n v="100"/>
    <n v="117.88"/>
    <x v="1"/>
    <x v="6"/>
    <x v="533"/>
    <d v="2016-05-16T10:26:05"/>
    <x v="55"/>
    <x v="2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x v="0"/>
    <n v="48"/>
    <x v="0"/>
    <s v="theater/plays"/>
    <n v="105"/>
    <n v="327.08"/>
    <x v="1"/>
    <x v="6"/>
    <x v="534"/>
    <d v="2015-11-01T23:00:00"/>
    <x v="213"/>
    <x v="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x v="0"/>
    <n v="59"/>
    <x v="0"/>
    <s v="theater/plays"/>
    <n v="103"/>
    <n v="34.75"/>
    <x v="1"/>
    <x v="6"/>
    <x v="535"/>
    <d v="2017-01-06T13:05:05"/>
    <x v="1"/>
    <x v="2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x v="0"/>
    <n v="39"/>
    <x v="0"/>
    <s v="theater/plays"/>
    <n v="118"/>
    <n v="100.06"/>
    <x v="1"/>
    <x v="6"/>
    <x v="536"/>
    <d v="2015-08-03T18:00:00"/>
    <x v="214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x v="0"/>
    <n v="59"/>
    <x v="0"/>
    <s v="theater/plays"/>
    <n v="121"/>
    <n v="40.85"/>
    <x v="1"/>
    <x v="6"/>
    <x v="537"/>
    <d v="2015-11-04T19:26:31"/>
    <x v="13"/>
    <x v="0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x v="0"/>
    <n v="60"/>
    <x v="0"/>
    <s v="theater/plays"/>
    <n v="302"/>
    <n v="252.02"/>
    <x v="1"/>
    <x v="6"/>
    <x v="538"/>
    <d v="2016-05-13T19:04:23"/>
    <x v="1"/>
    <x v="2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x v="0"/>
    <n v="20"/>
    <x v="0"/>
    <s v="theater/plays"/>
    <n v="101"/>
    <n v="25.16"/>
    <x v="1"/>
    <x v="6"/>
    <x v="539"/>
    <d v="2016-07-05T01:11:47"/>
    <x v="31"/>
    <x v="2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x v="0"/>
    <n v="1"/>
    <x v="1"/>
    <s v="technology/web"/>
    <n v="0"/>
    <n v="1"/>
    <x v="2"/>
    <x v="7"/>
    <x v="540"/>
    <d v="2015-02-04T19:36:46"/>
    <x v="1"/>
    <x v="0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x v="0"/>
    <n v="1"/>
    <x v="1"/>
    <s v="technology/web"/>
    <n v="1"/>
    <n v="25"/>
    <x v="2"/>
    <x v="7"/>
    <x v="541"/>
    <d v="2015-10-29T01:07:14"/>
    <x v="1"/>
    <x v="0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x v="0"/>
    <n v="1"/>
    <x v="1"/>
    <s v="technology/web"/>
    <n v="0"/>
    <n v="1"/>
    <x v="2"/>
    <x v="7"/>
    <x v="542"/>
    <d v="2016-05-03T16:41:56"/>
    <x v="80"/>
    <x v="2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x v="0"/>
    <n v="2"/>
    <x v="1"/>
    <s v="technology/web"/>
    <n v="0"/>
    <n v="35"/>
    <x v="2"/>
    <x v="7"/>
    <x v="543"/>
    <d v="2014-11-01T02:12:42"/>
    <x v="1"/>
    <x v="3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x v="0"/>
    <n v="2"/>
    <x v="1"/>
    <s v="technology/web"/>
    <n v="1"/>
    <n v="3"/>
    <x v="2"/>
    <x v="7"/>
    <x v="544"/>
    <d v="2016-07-04T15:46:00"/>
    <x v="1"/>
    <x v="2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x v="0"/>
    <n v="34"/>
    <x v="1"/>
    <s v="technology/web"/>
    <n v="27"/>
    <n v="402.71"/>
    <x v="2"/>
    <x v="7"/>
    <x v="545"/>
    <d v="2015-11-15T15:13:09"/>
    <x v="182"/>
    <x v="0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x v="0"/>
    <n v="2"/>
    <x v="1"/>
    <s v="technology/web"/>
    <n v="0"/>
    <n v="26"/>
    <x v="2"/>
    <x v="7"/>
    <x v="546"/>
    <d v="2015-10-17T16:01:55"/>
    <x v="26"/>
    <x v="0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x v="0"/>
    <n v="0"/>
    <x v="1"/>
    <s v="technology/web"/>
    <n v="0"/>
    <n v="0"/>
    <x v="2"/>
    <x v="7"/>
    <x v="547"/>
    <d v="2016-02-10T16:42:44"/>
    <x v="1"/>
    <x v="2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x v="0"/>
    <n v="1"/>
    <x v="1"/>
    <s v="technology/web"/>
    <n v="0"/>
    <n v="9"/>
    <x v="2"/>
    <x v="7"/>
    <x v="548"/>
    <d v="2015-10-29T21:40:48"/>
    <x v="1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x v="0"/>
    <n v="8"/>
    <x v="1"/>
    <s v="technology/web"/>
    <n v="3"/>
    <n v="8.5"/>
    <x v="2"/>
    <x v="7"/>
    <x v="549"/>
    <d v="2015-07-08T15:17:02"/>
    <x v="1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x v="0"/>
    <n v="4"/>
    <x v="1"/>
    <s v="technology/web"/>
    <n v="1"/>
    <n v="8.75"/>
    <x v="2"/>
    <x v="7"/>
    <x v="550"/>
    <d v="2017-01-31T05:00:00"/>
    <x v="215"/>
    <x v="1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x v="0"/>
    <n v="28"/>
    <x v="1"/>
    <s v="technology/web"/>
    <n v="5"/>
    <n v="135.04"/>
    <x v="2"/>
    <x v="7"/>
    <x v="551"/>
    <d v="2015-08-01T17:53:00"/>
    <x v="216"/>
    <x v="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x v="0"/>
    <n v="0"/>
    <x v="1"/>
    <s v="technology/web"/>
    <n v="0"/>
    <n v="0"/>
    <x v="2"/>
    <x v="7"/>
    <x v="552"/>
    <d v="2016-01-09T14:48:16"/>
    <x v="14"/>
    <x v="0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x v="0"/>
    <n v="6"/>
    <x v="1"/>
    <s v="technology/web"/>
    <n v="0"/>
    <n v="20.5"/>
    <x v="2"/>
    <x v="7"/>
    <x v="553"/>
    <d v="2014-11-14T18:16:31"/>
    <x v="13"/>
    <x v="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x v="0"/>
    <n v="22"/>
    <x v="1"/>
    <s v="technology/web"/>
    <n v="37"/>
    <n v="64.36"/>
    <x v="2"/>
    <x v="7"/>
    <x v="554"/>
    <d v="2014-10-19T16:26:12"/>
    <x v="1"/>
    <x v="3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x v="0"/>
    <n v="0"/>
    <x v="1"/>
    <s v="technology/web"/>
    <n v="0"/>
    <n v="0"/>
    <x v="2"/>
    <x v="7"/>
    <x v="555"/>
    <d v="2016-06-12T08:29:03"/>
    <x v="1"/>
    <x v="2"/>
  </r>
  <r>
    <x v="556"/>
    <s v="Braille Academy"/>
    <s v="An educational platform for learning Unified English Braille Code"/>
    <x v="6"/>
    <x v="148"/>
    <x v="2"/>
    <x v="0"/>
    <s v="USD"/>
    <n v="1452112717"/>
    <x v="556"/>
    <x v="0"/>
    <n v="1"/>
    <x v="1"/>
    <s v="technology/web"/>
    <n v="3"/>
    <n v="200"/>
    <x v="2"/>
    <x v="7"/>
    <x v="556"/>
    <d v="2016-01-06T20:38:37"/>
    <x v="1"/>
    <x v="0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x v="0"/>
    <n v="20"/>
    <x v="1"/>
    <s v="technology/web"/>
    <n v="1"/>
    <n v="68.3"/>
    <x v="2"/>
    <x v="7"/>
    <x v="557"/>
    <d v="2016-12-02T23:36:43"/>
    <x v="13"/>
    <x v="2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x v="0"/>
    <n v="0"/>
    <x v="1"/>
    <s v="technology/web"/>
    <n v="0"/>
    <n v="0"/>
    <x v="2"/>
    <x v="7"/>
    <x v="558"/>
    <d v="2015-03-24T20:11:45"/>
    <x v="22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x v="0"/>
    <n v="1"/>
    <x v="1"/>
    <s v="technology/web"/>
    <n v="0"/>
    <n v="50"/>
    <x v="2"/>
    <x v="7"/>
    <x v="559"/>
    <d v="2015-12-13T06:47:40"/>
    <x v="1"/>
    <x v="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x v="0"/>
    <n v="3"/>
    <x v="1"/>
    <s v="technology/web"/>
    <n v="0"/>
    <n v="4"/>
    <x v="2"/>
    <x v="7"/>
    <x v="560"/>
    <d v="2014-12-17T18:30:45"/>
    <x v="1"/>
    <x v="3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x v="0"/>
    <n v="2"/>
    <x v="1"/>
    <s v="technology/web"/>
    <n v="0"/>
    <n v="27.5"/>
    <x v="2"/>
    <x v="7"/>
    <x v="561"/>
    <d v="2015-10-26T15:48:33"/>
    <x v="6"/>
    <x v="0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x v="0"/>
    <n v="0"/>
    <x v="1"/>
    <s v="technology/web"/>
    <n v="0"/>
    <n v="0"/>
    <x v="2"/>
    <x v="7"/>
    <x v="562"/>
    <d v="2016-12-18T09:20:15"/>
    <x v="1"/>
    <x v="2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x v="0"/>
    <n v="2"/>
    <x v="1"/>
    <s v="technology/web"/>
    <n v="0"/>
    <n v="34"/>
    <x v="2"/>
    <x v="7"/>
    <x v="563"/>
    <d v="2015-02-17T01:40:47"/>
    <x v="1"/>
    <x v="0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x v="0"/>
    <n v="1"/>
    <x v="1"/>
    <s v="technology/web"/>
    <n v="0"/>
    <n v="1"/>
    <x v="2"/>
    <x v="7"/>
    <x v="564"/>
    <d v="2016-03-12T22:37:55"/>
    <x v="1"/>
    <x v="2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x v="0"/>
    <n v="0"/>
    <x v="1"/>
    <s v="technology/web"/>
    <n v="0"/>
    <n v="0"/>
    <x v="2"/>
    <x v="7"/>
    <x v="565"/>
    <d v="2015-07-10T18:50:49"/>
    <x v="1"/>
    <x v="0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x v="0"/>
    <n v="1"/>
    <x v="1"/>
    <s v="technology/web"/>
    <n v="0"/>
    <n v="1"/>
    <x v="2"/>
    <x v="7"/>
    <x v="566"/>
    <d v="2016-07-14T16:25:33"/>
    <x v="1"/>
    <x v="2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x v="0"/>
    <n v="0"/>
    <x v="1"/>
    <s v="technology/web"/>
    <n v="0"/>
    <n v="0"/>
    <x v="2"/>
    <x v="7"/>
    <x v="567"/>
    <d v="2015-01-01T20:13:14"/>
    <x v="1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x v="0"/>
    <n v="5"/>
    <x v="1"/>
    <s v="technology/web"/>
    <n v="1"/>
    <n v="49"/>
    <x v="2"/>
    <x v="7"/>
    <x v="568"/>
    <d v="2016-01-16T11:00:00"/>
    <x v="217"/>
    <x v="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x v="0"/>
    <n v="1"/>
    <x v="1"/>
    <s v="technology/web"/>
    <n v="1"/>
    <n v="20"/>
    <x v="2"/>
    <x v="7"/>
    <x v="569"/>
    <d v="2016-01-01T20:20:12"/>
    <x v="1"/>
    <x v="0"/>
  </r>
  <r>
    <x v="570"/>
    <s v="Relaunching in May"/>
    <s v="Humans have AM/FM/Satellite radio, kids have radio Disney, pets have DogCatRadio."/>
    <x v="94"/>
    <x v="436"/>
    <x v="2"/>
    <x v="0"/>
    <s v="USD"/>
    <n v="1455822569"/>
    <x v="570"/>
    <x v="0"/>
    <n v="1"/>
    <x v="1"/>
    <s v="technology/web"/>
    <n v="0"/>
    <n v="142"/>
    <x v="2"/>
    <x v="7"/>
    <x v="570"/>
    <d v="2016-02-18T19:09:29"/>
    <x v="1"/>
    <x v="2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x v="0"/>
    <n v="2"/>
    <x v="1"/>
    <s v="technology/web"/>
    <n v="0"/>
    <n v="53"/>
    <x v="2"/>
    <x v="7"/>
    <x v="571"/>
    <d v="2015-07-27T03:59:00"/>
    <x v="218"/>
    <x v="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x v="0"/>
    <n v="0"/>
    <x v="1"/>
    <s v="technology/web"/>
    <n v="0"/>
    <n v="0"/>
    <x v="2"/>
    <x v="7"/>
    <x v="572"/>
    <d v="2015-11-04T18:11:28"/>
    <x v="13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x v="0"/>
    <n v="9"/>
    <x v="1"/>
    <s v="technology/web"/>
    <n v="0"/>
    <n v="38.44"/>
    <x v="2"/>
    <x v="7"/>
    <x v="573"/>
    <d v="2015-01-18T01:12:00"/>
    <x v="219"/>
    <x v="3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x v="0"/>
    <n v="4"/>
    <x v="1"/>
    <s v="technology/web"/>
    <n v="1"/>
    <n v="20"/>
    <x v="2"/>
    <x v="7"/>
    <x v="574"/>
    <d v="2016-10-19T10:38:27"/>
    <x v="1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x v="0"/>
    <n v="4"/>
    <x v="1"/>
    <s v="technology/web"/>
    <n v="0"/>
    <n v="64.75"/>
    <x v="2"/>
    <x v="7"/>
    <x v="575"/>
    <d v="2015-06-13T16:37:23"/>
    <x v="1"/>
    <x v="0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x v="0"/>
    <n v="1"/>
    <x v="1"/>
    <s v="technology/web"/>
    <n v="0"/>
    <n v="1"/>
    <x v="2"/>
    <x v="7"/>
    <x v="576"/>
    <d v="2015-03-28T10:19:12"/>
    <x v="80"/>
    <x v="0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x v="0"/>
    <n v="1"/>
    <x v="1"/>
    <s v="technology/web"/>
    <n v="0"/>
    <n v="10"/>
    <x v="2"/>
    <x v="7"/>
    <x v="577"/>
    <d v="2016-05-20T14:08:22"/>
    <x v="14"/>
    <x v="2"/>
  </r>
  <r>
    <x v="578"/>
    <s v="weBuy Crowdsourced Shopping"/>
    <s v="weBuy trade built on technology and Crowd Sourced Power"/>
    <x v="152"/>
    <x v="441"/>
    <x v="2"/>
    <x v="1"/>
    <s v="GBP"/>
    <n v="1441633993"/>
    <x v="578"/>
    <x v="0"/>
    <n v="7"/>
    <x v="1"/>
    <s v="technology/web"/>
    <n v="0"/>
    <n v="2"/>
    <x v="2"/>
    <x v="7"/>
    <x v="578"/>
    <d v="2015-09-07T13:53:13"/>
    <x v="55"/>
    <x v="0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x v="0"/>
    <n v="5"/>
    <x v="1"/>
    <s v="technology/web"/>
    <n v="1"/>
    <n v="35"/>
    <x v="2"/>
    <x v="7"/>
    <x v="579"/>
    <d v="2014-12-25T20:27:03"/>
    <x v="1"/>
    <x v="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x v="0"/>
    <n v="1"/>
    <x v="1"/>
    <s v="technology/web"/>
    <n v="0"/>
    <n v="1"/>
    <x v="2"/>
    <x v="7"/>
    <x v="580"/>
    <d v="2016-09-22T21:47:47"/>
    <x v="1"/>
    <x v="2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x v="0"/>
    <n v="0"/>
    <x v="1"/>
    <s v="technology/web"/>
    <n v="0"/>
    <n v="0"/>
    <x v="2"/>
    <x v="7"/>
    <x v="581"/>
    <d v="2015-08-02T00:18:24"/>
    <x v="1"/>
    <x v="0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x v="0"/>
    <n v="0"/>
    <x v="1"/>
    <s v="technology/web"/>
    <n v="0"/>
    <n v="0"/>
    <x v="2"/>
    <x v="7"/>
    <x v="582"/>
    <d v="2015-03-15T18:00:00"/>
    <x v="220"/>
    <x v="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x v="583"/>
    <x v="0"/>
    <n v="1"/>
    <x v="1"/>
    <s v="technology/web"/>
    <n v="0"/>
    <n v="1"/>
    <x v="2"/>
    <x v="7"/>
    <x v="583"/>
    <d v="2015-03-19T21:31:27"/>
    <x v="22"/>
    <x v="0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x v="0"/>
    <n v="2"/>
    <x v="1"/>
    <s v="technology/web"/>
    <n v="1"/>
    <n v="5"/>
    <x v="2"/>
    <x v="7"/>
    <x v="584"/>
    <d v="2015-03-16T16:11:56"/>
    <x v="22"/>
    <x v="0"/>
  </r>
  <r>
    <x v="585"/>
    <s v="Link Card"/>
    <s v="SAVE UP TO 40% WHEN YOU SPEND!_x000a__x000a_PRE-ORDER YOUR LINK CARD TODAY"/>
    <x v="7"/>
    <x v="117"/>
    <x v="2"/>
    <x v="1"/>
    <s v="GBP"/>
    <n v="1448928000"/>
    <x v="585"/>
    <x v="0"/>
    <n v="0"/>
    <x v="1"/>
    <s v="technology/web"/>
    <n v="0"/>
    <n v="0"/>
    <x v="2"/>
    <x v="7"/>
    <x v="585"/>
    <d v="2015-12-01T00:00:00"/>
    <x v="221"/>
    <x v="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x v="0"/>
    <n v="4"/>
    <x v="1"/>
    <s v="technology/web"/>
    <n v="1"/>
    <n v="14"/>
    <x v="2"/>
    <x v="7"/>
    <x v="586"/>
    <d v="2015-02-15T20:30:07"/>
    <x v="1"/>
    <x v="0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x v="0"/>
    <n v="7"/>
    <x v="1"/>
    <s v="technology/web"/>
    <n v="9"/>
    <n v="389.29"/>
    <x v="2"/>
    <x v="7"/>
    <x v="587"/>
    <d v="2015-04-16T18:10:33"/>
    <x v="1"/>
    <x v="0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x v="0"/>
    <n v="2"/>
    <x v="1"/>
    <s v="technology/web"/>
    <n v="3"/>
    <n v="150.5"/>
    <x v="2"/>
    <x v="7"/>
    <x v="588"/>
    <d v="2016-11-17T19:28:06"/>
    <x v="27"/>
    <x v="2"/>
  </r>
  <r>
    <x v="589"/>
    <s v="Get Neighborly"/>
    <s v="Services closer than you think..."/>
    <x v="51"/>
    <x v="116"/>
    <x v="2"/>
    <x v="0"/>
    <s v="USD"/>
    <n v="1436366699"/>
    <x v="589"/>
    <x v="0"/>
    <n v="1"/>
    <x v="1"/>
    <s v="technology/web"/>
    <n v="0"/>
    <n v="1"/>
    <x v="2"/>
    <x v="7"/>
    <x v="589"/>
    <d v="2015-07-08T14:44:59"/>
    <x v="20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x v="0"/>
    <n v="9"/>
    <x v="1"/>
    <s v="technology/web"/>
    <n v="4"/>
    <n v="24.78"/>
    <x v="2"/>
    <x v="7"/>
    <x v="590"/>
    <d v="2016-02-08T13:01:00"/>
    <x v="222"/>
    <x v="2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x v="0"/>
    <n v="2"/>
    <x v="1"/>
    <s v="technology/web"/>
    <n v="0"/>
    <n v="30.5"/>
    <x v="2"/>
    <x v="7"/>
    <x v="591"/>
    <d v="2015-07-22T13:02:10"/>
    <x v="1"/>
    <x v="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x v="0"/>
    <n v="1"/>
    <x v="1"/>
    <s v="technology/web"/>
    <n v="3"/>
    <n v="250"/>
    <x v="2"/>
    <x v="7"/>
    <x v="592"/>
    <d v="2014-12-03T05:34:20"/>
    <x v="1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x v="0"/>
    <n v="7"/>
    <x v="1"/>
    <s v="technology/web"/>
    <n v="23"/>
    <n v="16.43"/>
    <x v="2"/>
    <x v="7"/>
    <x v="593"/>
    <d v="2015-04-06T15:15:45"/>
    <x v="22"/>
    <x v="0"/>
  </r>
  <r>
    <x v="594"/>
    <s v="Unleashed Fitness"/>
    <s v="Creating a fitness site that will change the fitness game forever!"/>
    <x v="31"/>
    <x v="375"/>
    <x v="2"/>
    <x v="0"/>
    <s v="USD"/>
    <n v="1460832206"/>
    <x v="594"/>
    <x v="0"/>
    <n v="2"/>
    <x v="1"/>
    <s v="technology/web"/>
    <n v="0"/>
    <n v="13"/>
    <x v="2"/>
    <x v="7"/>
    <x v="594"/>
    <d v="2016-04-16T18:43:26"/>
    <x v="1"/>
    <x v="2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x v="0"/>
    <n v="8"/>
    <x v="1"/>
    <s v="technology/web"/>
    <n v="0"/>
    <n v="53.25"/>
    <x v="2"/>
    <x v="7"/>
    <x v="595"/>
    <d v="2015-05-04T01:40:38"/>
    <x v="26"/>
    <x v="0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x v="0"/>
    <n v="2"/>
    <x v="1"/>
    <s v="technology/web"/>
    <n v="0"/>
    <n v="3"/>
    <x v="2"/>
    <x v="7"/>
    <x v="596"/>
    <d v="2016-11-02T21:31:32"/>
    <x v="1"/>
    <x v="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x v="0"/>
    <n v="2"/>
    <x v="1"/>
    <s v="technology/web"/>
    <n v="0"/>
    <n v="10"/>
    <x v="2"/>
    <x v="7"/>
    <x v="597"/>
    <d v="2016-07-31T16:00:00"/>
    <x v="223"/>
    <x v="2"/>
  </r>
  <r>
    <x v="598"/>
    <s v="Goals not creeds"/>
    <s v="This is a project to create a crowd-funding site for Urantia Book readers worldwide."/>
    <x v="30"/>
    <x v="447"/>
    <x v="2"/>
    <x v="0"/>
    <s v="USD"/>
    <n v="1417737781"/>
    <x v="598"/>
    <x v="0"/>
    <n v="7"/>
    <x v="1"/>
    <s v="technology/web"/>
    <n v="34"/>
    <n v="121.43"/>
    <x v="2"/>
    <x v="7"/>
    <x v="598"/>
    <d v="2014-12-05T00:03:01"/>
    <x v="1"/>
    <x v="3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x v="0"/>
    <n v="2"/>
    <x v="1"/>
    <s v="technology/web"/>
    <n v="0"/>
    <n v="15.5"/>
    <x v="2"/>
    <x v="7"/>
    <x v="599"/>
    <d v="2015-03-08T15:16:00"/>
    <x v="224"/>
    <x v="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x v="0"/>
    <n v="1"/>
    <x v="1"/>
    <s v="technology/web"/>
    <n v="2"/>
    <n v="100"/>
    <x v="2"/>
    <x v="7"/>
    <x v="600"/>
    <d v="2015-05-09T19:09:22"/>
    <x v="14"/>
    <x v="0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x v="0"/>
    <n v="6"/>
    <x v="1"/>
    <s v="technology/web"/>
    <n v="1"/>
    <n v="23.33"/>
    <x v="2"/>
    <x v="7"/>
    <x v="601"/>
    <d v="2014-12-26T20:35:39"/>
    <x v="1"/>
    <x v="3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x v="0"/>
    <n v="0"/>
    <x v="1"/>
    <s v="technology/web"/>
    <n v="0"/>
    <n v="0"/>
    <x v="2"/>
    <x v="7"/>
    <x v="602"/>
    <d v="2015-06-18T19:03:35"/>
    <x v="1"/>
    <x v="0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x v="0"/>
    <n v="13"/>
    <x v="1"/>
    <s v="technology/web"/>
    <n v="4"/>
    <n v="45.39"/>
    <x v="2"/>
    <x v="7"/>
    <x v="603"/>
    <d v="2014-08-14T15:20:23"/>
    <x v="1"/>
    <x v="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x v="0"/>
    <n v="0"/>
    <x v="1"/>
    <s v="technology/web"/>
    <n v="0"/>
    <n v="0"/>
    <x v="2"/>
    <x v="7"/>
    <x v="604"/>
    <d v="2014-08-28T00:50:56"/>
    <x v="1"/>
    <x v="3"/>
  </r>
  <r>
    <x v="605"/>
    <s v="Teach Your Parents iPad (Canceled)"/>
    <s v="An iPad support care package for your parents / seniors."/>
    <x v="10"/>
    <x v="449"/>
    <x v="1"/>
    <x v="0"/>
    <s v="USD"/>
    <n v="1440318908"/>
    <x v="605"/>
    <x v="0"/>
    <n v="8"/>
    <x v="1"/>
    <s v="technology/web"/>
    <n v="3"/>
    <n v="16.38"/>
    <x v="2"/>
    <x v="7"/>
    <x v="605"/>
    <d v="2015-08-23T08:35:08"/>
    <x v="26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x v="0"/>
    <n v="1"/>
    <x v="1"/>
    <s v="technology/web"/>
    <n v="0"/>
    <n v="10"/>
    <x v="2"/>
    <x v="7"/>
    <x v="606"/>
    <d v="2015-05-24T15:00:00"/>
    <x v="225"/>
    <x v="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x v="0"/>
    <n v="0"/>
    <x v="1"/>
    <s v="technology/web"/>
    <n v="0"/>
    <n v="0"/>
    <x v="2"/>
    <x v="7"/>
    <x v="607"/>
    <d v="2015-11-22T20:48:56"/>
    <x v="13"/>
    <x v="0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x v="0"/>
    <n v="5"/>
    <x v="1"/>
    <s v="technology/web"/>
    <n v="1"/>
    <n v="292.2"/>
    <x v="2"/>
    <x v="7"/>
    <x v="608"/>
    <d v="2015-06-15T22:06:20"/>
    <x v="1"/>
    <x v="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x v="0"/>
    <n v="1"/>
    <x v="1"/>
    <s v="technology/web"/>
    <n v="1"/>
    <n v="5"/>
    <x v="2"/>
    <x v="7"/>
    <x v="609"/>
    <d v="2015-11-29T01:49:04"/>
    <x v="13"/>
    <x v="0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x v="0"/>
    <n v="0"/>
    <x v="1"/>
    <s v="technology/web"/>
    <n v="0"/>
    <n v="0"/>
    <x v="2"/>
    <x v="7"/>
    <x v="610"/>
    <d v="2015-04-22T19:56:26"/>
    <x v="1"/>
    <x v="0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x v="0"/>
    <n v="0"/>
    <x v="1"/>
    <s v="technology/web"/>
    <n v="0"/>
    <n v="0"/>
    <x v="2"/>
    <x v="7"/>
    <x v="611"/>
    <d v="2016-01-19T13:27:17"/>
    <x v="14"/>
    <x v="0"/>
  </r>
  <r>
    <x v="612"/>
    <s v="Web Streaming 2.0 (Canceled)"/>
    <s v="A Fast and Reliable new Web platform to stream videos from Internet"/>
    <x v="3"/>
    <x v="117"/>
    <x v="1"/>
    <x v="13"/>
    <s v="EUR"/>
    <n v="1472777146"/>
    <x v="612"/>
    <x v="0"/>
    <n v="0"/>
    <x v="1"/>
    <s v="technology/web"/>
    <n v="0"/>
    <n v="0"/>
    <x v="2"/>
    <x v="7"/>
    <x v="612"/>
    <d v="2016-09-02T00:45:46"/>
    <x v="1"/>
    <x v="2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x v="0"/>
    <n v="121"/>
    <x v="1"/>
    <s v="technology/web"/>
    <n v="21"/>
    <n v="105.93"/>
    <x v="2"/>
    <x v="7"/>
    <x v="613"/>
    <d v="2015-10-01T04:59:00"/>
    <x v="226"/>
    <x v="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x v="0"/>
    <n v="0"/>
    <x v="1"/>
    <s v="technology/web"/>
    <n v="0"/>
    <n v="0"/>
    <x v="2"/>
    <x v="7"/>
    <x v="614"/>
    <d v="2016-06-24T01:29:00"/>
    <x v="1"/>
    <x v="2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x v="0"/>
    <n v="0"/>
    <x v="1"/>
    <s v="technology/web"/>
    <n v="0"/>
    <n v="0"/>
    <x v="2"/>
    <x v="7"/>
    <x v="615"/>
    <d v="2015-09-25T02:55:59"/>
    <x v="1"/>
    <x v="0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x v="0"/>
    <n v="0"/>
    <x v="1"/>
    <s v="technology/web"/>
    <n v="0"/>
    <n v="0"/>
    <x v="2"/>
    <x v="7"/>
    <x v="616"/>
    <d v="2017-02-25T09:01:47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x v="0"/>
    <n v="3"/>
    <x v="1"/>
    <s v="technology/web"/>
    <n v="3"/>
    <n v="20"/>
    <x v="2"/>
    <x v="7"/>
    <x v="617"/>
    <d v="2015-05-08T08:14:03"/>
    <x v="26"/>
    <x v="0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x v="0"/>
    <n v="0"/>
    <x v="1"/>
    <s v="technology/web"/>
    <n v="0"/>
    <n v="0"/>
    <x v="2"/>
    <x v="7"/>
    <x v="618"/>
    <d v="2015-12-09T19:26:43"/>
    <x v="1"/>
    <x v="0"/>
  </r>
  <r>
    <x v="619"/>
    <s v="Big Data (Canceled)"/>
    <s v="Big Data Sets for researchers interested in improving the quality of life."/>
    <x v="156"/>
    <x v="116"/>
    <x v="1"/>
    <x v="0"/>
    <s v="USD"/>
    <n v="1416933390"/>
    <x v="619"/>
    <x v="0"/>
    <n v="1"/>
    <x v="1"/>
    <s v="technology/web"/>
    <n v="0"/>
    <n v="1"/>
    <x v="2"/>
    <x v="7"/>
    <x v="619"/>
    <d v="2014-11-25T16:36:30"/>
    <x v="27"/>
    <x v="3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x v="0"/>
    <n v="1"/>
    <x v="1"/>
    <s v="technology/web"/>
    <n v="1"/>
    <n v="300"/>
    <x v="2"/>
    <x v="7"/>
    <x v="620"/>
    <d v="2014-08-25T17:12:18"/>
    <x v="26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x v="0"/>
    <n v="3"/>
    <x v="1"/>
    <s v="technology/web"/>
    <n v="1"/>
    <n v="87"/>
    <x v="2"/>
    <x v="7"/>
    <x v="621"/>
    <d v="2016-07-07T23:42:17"/>
    <x v="1"/>
    <x v="2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x v="0"/>
    <n v="9"/>
    <x v="1"/>
    <s v="technology/web"/>
    <n v="6"/>
    <n v="37.89"/>
    <x v="2"/>
    <x v="7"/>
    <x v="622"/>
    <d v="2016-07-01T18:35:38"/>
    <x v="51"/>
    <x v="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x v="0"/>
    <n v="0"/>
    <x v="1"/>
    <s v="technology/web"/>
    <n v="0"/>
    <n v="0"/>
    <x v="2"/>
    <x v="7"/>
    <x v="623"/>
    <d v="2015-05-28T00:13:17"/>
    <x v="1"/>
    <x v="0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x v="0"/>
    <n v="0"/>
    <x v="1"/>
    <s v="technology/web"/>
    <n v="0"/>
    <n v="0"/>
    <x v="2"/>
    <x v="7"/>
    <x v="624"/>
    <d v="2015-05-14T23:44:01"/>
    <x v="1"/>
    <x v="0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x v="0"/>
    <n v="0"/>
    <x v="1"/>
    <s v="technology/web"/>
    <n v="0"/>
    <n v="0"/>
    <x v="2"/>
    <x v="7"/>
    <x v="625"/>
    <d v="2017-03-26T20:29:37"/>
    <x v="22"/>
    <x v="1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x v="0"/>
    <n v="39"/>
    <x v="1"/>
    <s v="technology/web"/>
    <n v="17"/>
    <n v="111.41"/>
    <x v="2"/>
    <x v="7"/>
    <x v="626"/>
    <d v="2015-08-15T13:22:00"/>
    <x v="17"/>
    <x v="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x v="0"/>
    <n v="1"/>
    <x v="1"/>
    <s v="technology/web"/>
    <n v="0"/>
    <n v="90"/>
    <x v="2"/>
    <x v="7"/>
    <x v="627"/>
    <d v="2016-03-14T23:00:00"/>
    <x v="227"/>
    <x v="2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x v="0"/>
    <n v="0"/>
    <x v="1"/>
    <s v="technology/web"/>
    <n v="0"/>
    <n v="0"/>
    <x v="2"/>
    <x v="7"/>
    <x v="628"/>
    <d v="2014-07-13T16:37:37"/>
    <x v="1"/>
    <x v="3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x v="0"/>
    <n v="3"/>
    <x v="1"/>
    <s v="technology/web"/>
    <n v="0"/>
    <n v="116.67"/>
    <x v="2"/>
    <x v="7"/>
    <x v="629"/>
    <d v="2016-05-14T15:18:28"/>
    <x v="1"/>
    <x v="2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x v="0"/>
    <n v="1"/>
    <x v="1"/>
    <s v="technology/web"/>
    <n v="0"/>
    <n v="10"/>
    <x v="2"/>
    <x v="7"/>
    <x v="630"/>
    <d v="2015-09-06T05:10:00"/>
    <x v="228"/>
    <x v="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x v="0"/>
    <n v="9"/>
    <x v="1"/>
    <s v="technology/web"/>
    <n v="1"/>
    <n v="76.67"/>
    <x v="2"/>
    <x v="7"/>
    <x v="631"/>
    <d v="2016-05-28T18:32:09"/>
    <x v="229"/>
    <x v="2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x v="0"/>
    <n v="0"/>
    <x v="1"/>
    <s v="technology/web"/>
    <n v="0"/>
    <n v="0"/>
    <x v="2"/>
    <x v="7"/>
    <x v="632"/>
    <d v="2015-11-25T16:49:25"/>
    <x v="13"/>
    <x v="0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x v="0"/>
    <n v="25"/>
    <x v="1"/>
    <s v="technology/web"/>
    <n v="12"/>
    <n v="49.8"/>
    <x v="2"/>
    <x v="7"/>
    <x v="633"/>
    <d v="2016-06-17T23:00:00"/>
    <x v="230"/>
    <x v="2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x v="634"/>
    <x v="0"/>
    <n v="1"/>
    <x v="1"/>
    <s v="technology/web"/>
    <n v="0"/>
    <n v="1"/>
    <x v="2"/>
    <x v="7"/>
    <x v="634"/>
    <d v="2015-02-26T22:17:09"/>
    <x v="1"/>
    <x v="0"/>
  </r>
  <r>
    <x v="635"/>
    <s v="Pleero, A Technology Team Building Website (Canceled)"/>
    <s v="Network used for building technology development teams."/>
    <x v="31"/>
    <x v="369"/>
    <x v="1"/>
    <x v="0"/>
    <s v="USD"/>
    <n v="1428804762"/>
    <x v="635"/>
    <x v="0"/>
    <n v="1"/>
    <x v="1"/>
    <s v="technology/web"/>
    <n v="0"/>
    <n v="2"/>
    <x v="2"/>
    <x v="7"/>
    <x v="635"/>
    <d v="2015-04-12T02:12:42"/>
    <x v="1"/>
    <x v="0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x v="0"/>
    <n v="1"/>
    <x v="1"/>
    <s v="technology/web"/>
    <n v="0"/>
    <n v="4"/>
    <x v="2"/>
    <x v="7"/>
    <x v="636"/>
    <d v="2015-06-06T10:47:00"/>
    <x v="99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x v="0"/>
    <n v="0"/>
    <x v="1"/>
    <s v="technology/web"/>
    <n v="0"/>
    <n v="0"/>
    <x v="2"/>
    <x v="7"/>
    <x v="637"/>
    <d v="2017-02-25T23:04:00"/>
    <x v="229"/>
    <x v="1"/>
  </r>
  <r>
    <x v="638"/>
    <s v="W (Canceled)"/>
    <s v="O0"/>
    <x v="61"/>
    <x v="461"/>
    <x v="1"/>
    <x v="12"/>
    <s v="EUR"/>
    <n v="1490447662"/>
    <x v="638"/>
    <x v="0"/>
    <n v="6"/>
    <x v="1"/>
    <s v="technology/web"/>
    <n v="0"/>
    <n v="3"/>
    <x v="2"/>
    <x v="7"/>
    <x v="638"/>
    <d v="2017-03-25T13:14:22"/>
    <x v="80"/>
    <x v="1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x v="639"/>
    <x v="0"/>
    <n v="1"/>
    <x v="1"/>
    <s v="technology/web"/>
    <n v="0"/>
    <n v="1"/>
    <x v="2"/>
    <x v="7"/>
    <x v="639"/>
    <d v="2014-10-13T13:59:55"/>
    <x v="14"/>
    <x v="3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x v="0"/>
    <n v="2"/>
    <x v="0"/>
    <s v="technology/wearables"/>
    <n v="144"/>
    <n v="50.5"/>
    <x v="2"/>
    <x v="8"/>
    <x v="640"/>
    <d v="2016-11-24T23:00:00"/>
    <x v="231"/>
    <x v="2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x v="0"/>
    <n v="315"/>
    <x v="0"/>
    <s v="technology/wearables"/>
    <n v="119"/>
    <n v="151.32"/>
    <x v="2"/>
    <x v="8"/>
    <x v="641"/>
    <d v="2015-08-13T13:40:48"/>
    <x v="1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x v="0"/>
    <n v="2174"/>
    <x v="0"/>
    <s v="technology/wearables"/>
    <n v="1460"/>
    <n v="134.36000000000001"/>
    <x v="2"/>
    <x v="8"/>
    <x v="642"/>
    <d v="2015-08-19T15:37:54"/>
    <x v="232"/>
    <x v="0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x v="0"/>
    <n v="152"/>
    <x v="0"/>
    <s v="technology/wearables"/>
    <n v="106"/>
    <n v="174.03"/>
    <x v="2"/>
    <x v="8"/>
    <x v="643"/>
    <d v="2015-05-31T15:24:35"/>
    <x v="233"/>
    <x v="0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x v="0"/>
    <n v="1021"/>
    <x v="0"/>
    <s v="technology/wearables"/>
    <n v="300"/>
    <n v="73.489999999999995"/>
    <x v="2"/>
    <x v="8"/>
    <x v="644"/>
    <d v="2014-10-29T01:00:00"/>
    <x v="176"/>
    <x v="3"/>
  </r>
  <r>
    <x v="645"/>
    <s v="Carbon Fiber Collar Stays"/>
    <s v="Ever wanted to own something made out of carbon fiber? Now you can!"/>
    <x v="13"/>
    <x v="467"/>
    <x v="0"/>
    <x v="0"/>
    <s v="USD"/>
    <n v="1470962274"/>
    <x v="645"/>
    <x v="0"/>
    <n v="237"/>
    <x v="0"/>
    <s v="technology/wearables"/>
    <n v="279"/>
    <n v="23.52"/>
    <x v="2"/>
    <x v="8"/>
    <x v="645"/>
    <d v="2016-08-12T00:37:54"/>
    <x v="1"/>
    <x v="2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x v="0"/>
    <n v="27"/>
    <x v="0"/>
    <s v="technology/wearables"/>
    <n v="132"/>
    <n v="39.07"/>
    <x v="2"/>
    <x v="8"/>
    <x v="646"/>
    <d v="2014-08-11T20:27:47"/>
    <x v="1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x v="0"/>
    <n v="17"/>
    <x v="0"/>
    <s v="technology/wearables"/>
    <n v="107"/>
    <n v="125.94"/>
    <x v="2"/>
    <x v="8"/>
    <x v="647"/>
    <d v="2016-03-17T17:25:49"/>
    <x v="22"/>
    <x v="2"/>
  </r>
  <r>
    <x v="648"/>
    <s v="Audio Jacket"/>
    <s v="Get ready for the next product that you canâ€™t live without"/>
    <x v="19"/>
    <x v="470"/>
    <x v="0"/>
    <x v="0"/>
    <s v="USD"/>
    <n v="1413304708"/>
    <x v="648"/>
    <x v="0"/>
    <n v="27"/>
    <x v="0"/>
    <s v="technology/wearables"/>
    <n v="127"/>
    <n v="1644"/>
    <x v="2"/>
    <x v="8"/>
    <x v="648"/>
    <d v="2014-10-14T16:38:28"/>
    <x v="6"/>
    <x v="3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x v="0"/>
    <n v="82"/>
    <x v="0"/>
    <s v="technology/wearables"/>
    <n v="140"/>
    <n v="42.67"/>
    <x v="2"/>
    <x v="8"/>
    <x v="649"/>
    <d v="2014-09-16T21:53:33"/>
    <x v="31"/>
    <x v="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x v="0"/>
    <n v="48"/>
    <x v="0"/>
    <s v="technology/wearables"/>
    <n v="112"/>
    <n v="35.130000000000003"/>
    <x v="2"/>
    <x v="8"/>
    <x v="650"/>
    <d v="2014-12-19T01:53:04"/>
    <x v="27"/>
    <x v="3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x v="0"/>
    <n v="105"/>
    <x v="0"/>
    <s v="technology/wearables"/>
    <n v="101"/>
    <n v="239.35"/>
    <x v="2"/>
    <x v="8"/>
    <x v="651"/>
    <d v="2014-12-13T00:25:11"/>
    <x v="1"/>
    <x v="3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x v="0"/>
    <n v="28"/>
    <x v="0"/>
    <s v="technology/wearables"/>
    <n v="100"/>
    <n v="107.64"/>
    <x v="2"/>
    <x v="8"/>
    <x v="652"/>
    <d v="2016-12-01T17:34:10"/>
    <x v="13"/>
    <x v="2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x v="0"/>
    <n v="1107"/>
    <x v="0"/>
    <s v="technology/wearables"/>
    <n v="141"/>
    <n v="95.83"/>
    <x v="2"/>
    <x v="8"/>
    <x v="653"/>
    <d v="2015-08-20T14:50:40"/>
    <x v="127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x v="0"/>
    <n v="1013"/>
    <x v="0"/>
    <s v="technology/wearables"/>
    <n v="267"/>
    <n v="31.66"/>
    <x v="2"/>
    <x v="8"/>
    <x v="654"/>
    <d v="2015-07-08T22:58:33"/>
    <x v="1"/>
    <x v="0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x v="0"/>
    <n v="274"/>
    <x v="0"/>
    <s v="technology/wearables"/>
    <n v="147"/>
    <n v="42.89"/>
    <x v="2"/>
    <x v="8"/>
    <x v="655"/>
    <d v="2015-03-12T21:58:32"/>
    <x v="2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x v="0"/>
    <n v="87"/>
    <x v="0"/>
    <s v="technology/wearables"/>
    <n v="214"/>
    <n v="122.74"/>
    <x v="2"/>
    <x v="8"/>
    <x v="656"/>
    <d v="2016-04-17T18:18:39"/>
    <x v="80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x v="0"/>
    <n v="99"/>
    <x v="0"/>
    <s v="technology/wearables"/>
    <n v="126"/>
    <n v="190.45"/>
    <x v="2"/>
    <x v="8"/>
    <x v="657"/>
    <d v="2015-12-23T20:17:52"/>
    <x v="1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x v="0"/>
    <n v="276"/>
    <x v="0"/>
    <s v="technology/wearables"/>
    <n v="104"/>
    <n v="109.34"/>
    <x v="2"/>
    <x v="8"/>
    <x v="658"/>
    <d v="2015-07-26T18:00:00"/>
    <x v="234"/>
    <x v="0"/>
  </r>
  <r>
    <x v="659"/>
    <s v="Lulu Watch Designs - Apple Watch"/>
    <s v="Sync up your lifestyle"/>
    <x v="9"/>
    <x v="481"/>
    <x v="0"/>
    <x v="0"/>
    <s v="USD"/>
    <n v="1440339295"/>
    <x v="659"/>
    <x v="0"/>
    <n v="21"/>
    <x v="0"/>
    <s v="technology/wearables"/>
    <n v="101"/>
    <n v="143.66999999999999"/>
    <x v="2"/>
    <x v="8"/>
    <x v="659"/>
    <d v="2015-08-23T14:14:55"/>
    <x v="1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x v="0"/>
    <n v="18"/>
    <x v="1"/>
    <s v="technology/wearables"/>
    <n v="3"/>
    <n v="84.94"/>
    <x v="2"/>
    <x v="8"/>
    <x v="660"/>
    <d v="2014-11-09T18:47:59"/>
    <x v="13"/>
    <x v="3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x v="0"/>
    <n v="9"/>
    <x v="1"/>
    <s v="technology/wearables"/>
    <n v="1"/>
    <n v="10.56"/>
    <x v="2"/>
    <x v="8"/>
    <x v="661"/>
    <d v="2016-10-23T15:29:19"/>
    <x v="1"/>
    <x v="2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x v="0"/>
    <n v="4"/>
    <x v="1"/>
    <s v="technology/wearables"/>
    <n v="0"/>
    <n v="39"/>
    <x v="2"/>
    <x v="8"/>
    <x v="662"/>
    <d v="2015-01-16T10:30:47"/>
    <x v="1"/>
    <x v="3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x v="0"/>
    <n v="7"/>
    <x v="1"/>
    <s v="technology/wearables"/>
    <n v="0"/>
    <n v="100"/>
    <x v="2"/>
    <x v="8"/>
    <x v="663"/>
    <d v="2015-07-18T20:14:16"/>
    <x v="1"/>
    <x v="0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x v="0"/>
    <n v="29"/>
    <x v="1"/>
    <s v="technology/wearables"/>
    <n v="8"/>
    <n v="31.17"/>
    <x v="2"/>
    <x v="8"/>
    <x v="664"/>
    <d v="2015-04-13T15:59:35"/>
    <x v="1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x v="0"/>
    <n v="12"/>
    <x v="1"/>
    <s v="technology/wearables"/>
    <n v="19"/>
    <n v="155.33000000000001"/>
    <x v="2"/>
    <x v="8"/>
    <x v="665"/>
    <d v="2017-01-13T17:04:21"/>
    <x v="14"/>
    <x v="2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x v="0"/>
    <n v="4"/>
    <x v="1"/>
    <s v="technology/wearables"/>
    <n v="0"/>
    <n v="2"/>
    <x v="2"/>
    <x v="8"/>
    <x v="666"/>
    <d v="2014-08-17T19:58:18"/>
    <x v="1"/>
    <x v="3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x v="0"/>
    <n v="28"/>
    <x v="1"/>
    <s v="technology/wearables"/>
    <n v="10"/>
    <n v="178.93"/>
    <x v="2"/>
    <x v="8"/>
    <x v="667"/>
    <d v="2016-10-29T08:57:43"/>
    <x v="4"/>
    <x v="2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x v="0"/>
    <n v="25"/>
    <x v="1"/>
    <s v="technology/wearables"/>
    <n v="5"/>
    <n v="27.36"/>
    <x v="2"/>
    <x v="8"/>
    <x v="668"/>
    <d v="2015-05-11T19:57:02"/>
    <x v="26"/>
    <x v="0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x v="0"/>
    <n v="28"/>
    <x v="1"/>
    <s v="technology/wearables"/>
    <n v="22"/>
    <n v="1536.25"/>
    <x v="2"/>
    <x v="8"/>
    <x v="669"/>
    <d v="2016-07-06T15:00:58"/>
    <x v="1"/>
    <x v="2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x v="0"/>
    <n v="310"/>
    <x v="1"/>
    <s v="technology/wearables"/>
    <n v="29"/>
    <n v="85"/>
    <x v="2"/>
    <x v="8"/>
    <x v="670"/>
    <d v="2016-06-19T08:10:00"/>
    <x v="235"/>
    <x v="2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x v="0"/>
    <n v="15"/>
    <x v="1"/>
    <s v="technology/wearables"/>
    <n v="39"/>
    <n v="788.53"/>
    <x v="2"/>
    <x v="8"/>
    <x v="671"/>
    <d v="2015-01-14T04:00:00"/>
    <x v="236"/>
    <x v="3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x v="0"/>
    <n v="215"/>
    <x v="1"/>
    <s v="technology/wearables"/>
    <n v="22"/>
    <n v="50.3"/>
    <x v="2"/>
    <x v="8"/>
    <x v="672"/>
    <d v="2015-01-01T04:59:00"/>
    <x v="222"/>
    <x v="3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x v="0"/>
    <n v="3"/>
    <x v="1"/>
    <s v="technology/wearables"/>
    <n v="0"/>
    <n v="68.33"/>
    <x v="2"/>
    <x v="8"/>
    <x v="673"/>
    <d v="2014-09-01T20:10:17"/>
    <x v="26"/>
    <x v="3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x v="0"/>
    <n v="2"/>
    <x v="1"/>
    <s v="technology/wearables"/>
    <n v="0"/>
    <n v="7.5"/>
    <x v="2"/>
    <x v="8"/>
    <x v="674"/>
    <d v="2014-08-12T02:47:07"/>
    <x v="14"/>
    <x v="3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x v="0"/>
    <n v="26"/>
    <x v="1"/>
    <s v="technology/wearables"/>
    <n v="15"/>
    <n v="34.270000000000003"/>
    <x v="2"/>
    <x v="8"/>
    <x v="675"/>
    <d v="2015-01-01T06:59:00"/>
    <x v="237"/>
    <x v="3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x v="0"/>
    <n v="24"/>
    <x v="1"/>
    <s v="technology/wearables"/>
    <n v="1"/>
    <n v="61.29"/>
    <x v="2"/>
    <x v="8"/>
    <x v="676"/>
    <d v="2015-02-07T18:26:21"/>
    <x v="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x v="0"/>
    <n v="96"/>
    <x v="1"/>
    <s v="technology/wearables"/>
    <n v="26"/>
    <n v="133.25"/>
    <x v="2"/>
    <x v="8"/>
    <x v="677"/>
    <d v="2016-06-28T09:41:35"/>
    <x v="26"/>
    <x v="2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x v="0"/>
    <n v="17"/>
    <x v="1"/>
    <s v="technology/wearables"/>
    <n v="4"/>
    <n v="65.180000000000007"/>
    <x v="2"/>
    <x v="8"/>
    <x v="678"/>
    <d v="2016-05-21T09:02:18"/>
    <x v="1"/>
    <x v="2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x v="0"/>
    <n v="94"/>
    <x v="1"/>
    <s v="technology/wearables"/>
    <n v="15"/>
    <n v="93.9"/>
    <x v="2"/>
    <x v="8"/>
    <x v="679"/>
    <d v="2016-09-03T16:41:49"/>
    <x v="14"/>
    <x v="2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x v="0"/>
    <n v="129"/>
    <x v="1"/>
    <s v="technology/wearables"/>
    <n v="26"/>
    <n v="150.65"/>
    <x v="2"/>
    <x v="8"/>
    <x v="680"/>
    <d v="2014-09-17T12:02:11"/>
    <x v="6"/>
    <x v="3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x v="0"/>
    <n v="1"/>
    <x v="1"/>
    <s v="technology/wearables"/>
    <n v="0"/>
    <n v="1"/>
    <x v="2"/>
    <x v="8"/>
    <x v="681"/>
    <d v="2016-10-26T19:20:04"/>
    <x v="1"/>
    <x v="2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x v="0"/>
    <n v="4"/>
    <x v="1"/>
    <s v="technology/wearables"/>
    <n v="0"/>
    <n v="13.25"/>
    <x v="2"/>
    <x v="8"/>
    <x v="682"/>
    <d v="2017-03-14T17:22:02"/>
    <x v="22"/>
    <x v="1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x v="0"/>
    <n v="3"/>
    <x v="1"/>
    <s v="technology/wearables"/>
    <n v="1"/>
    <n v="99.33"/>
    <x v="2"/>
    <x v="8"/>
    <x v="683"/>
    <d v="2016-10-31T21:36:04"/>
    <x v="4"/>
    <x v="2"/>
  </r>
  <r>
    <x v="684"/>
    <s v="Arcus Motion Analyzer | The Versatile Smart Ring"/>
    <s v="Arcus gives your fingers super powers."/>
    <x v="163"/>
    <x v="502"/>
    <x v="2"/>
    <x v="0"/>
    <s v="USD"/>
    <n v="1406257200"/>
    <x v="684"/>
    <x v="0"/>
    <n v="135"/>
    <x v="1"/>
    <s v="technology/wearables"/>
    <n v="7"/>
    <n v="177.39"/>
    <x v="2"/>
    <x v="8"/>
    <x v="684"/>
    <d v="2014-07-25T03:00:00"/>
    <x v="238"/>
    <x v="3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x v="0"/>
    <n v="10"/>
    <x v="1"/>
    <s v="technology/wearables"/>
    <n v="28"/>
    <n v="55.3"/>
    <x v="2"/>
    <x v="8"/>
    <x v="685"/>
    <d v="2015-01-12T20:47:52"/>
    <x v="26"/>
    <x v="3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x v="0"/>
    <n v="0"/>
    <x v="1"/>
    <s v="technology/wearables"/>
    <n v="0"/>
    <n v="0"/>
    <x v="2"/>
    <x v="8"/>
    <x v="686"/>
    <d v="2015-08-03T16:09:30"/>
    <x v="1"/>
    <x v="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x v="0"/>
    <n v="6"/>
    <x v="1"/>
    <s v="technology/wearables"/>
    <n v="4"/>
    <n v="591.66999999999996"/>
    <x v="2"/>
    <x v="8"/>
    <x v="687"/>
    <d v="2017-02-05T18:00:53"/>
    <x v="14"/>
    <x v="2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x v="0"/>
    <n v="36"/>
    <x v="1"/>
    <s v="technology/wearables"/>
    <n v="73"/>
    <n v="405.5"/>
    <x v="2"/>
    <x v="8"/>
    <x v="688"/>
    <d v="2015-10-15T02:30:53"/>
    <x v="1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x v="0"/>
    <n v="336"/>
    <x v="1"/>
    <s v="technology/wearables"/>
    <n v="58"/>
    <n v="343.15"/>
    <x v="2"/>
    <x v="8"/>
    <x v="689"/>
    <d v="2016-12-08T04:59:00"/>
    <x v="217"/>
    <x v="2"/>
  </r>
  <r>
    <x v="690"/>
    <s v="BLOXSHIELD"/>
    <s v="A radiation shield for your fitness tracker, smartwatch or other wearable smart device"/>
    <x v="22"/>
    <x v="507"/>
    <x v="2"/>
    <x v="0"/>
    <s v="USD"/>
    <n v="1473400800"/>
    <x v="690"/>
    <x v="0"/>
    <n v="34"/>
    <x v="1"/>
    <s v="technology/wearables"/>
    <n v="12"/>
    <n v="72.59"/>
    <x v="2"/>
    <x v="8"/>
    <x v="690"/>
    <d v="2016-09-09T06:00:00"/>
    <x v="239"/>
    <x v="2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x v="0"/>
    <n v="10"/>
    <x v="1"/>
    <s v="technology/wearables"/>
    <n v="1"/>
    <n v="26"/>
    <x v="2"/>
    <x v="8"/>
    <x v="691"/>
    <d v="2015-07-01T00:40:46"/>
    <x v="240"/>
    <x v="0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x v="0"/>
    <n v="201"/>
    <x v="1"/>
    <s v="technology/wearables"/>
    <n v="7"/>
    <n v="6.5"/>
    <x v="2"/>
    <x v="8"/>
    <x v="692"/>
    <d v="2016-12-22T09:01:03"/>
    <x v="1"/>
    <x v="2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x v="0"/>
    <n v="296"/>
    <x v="1"/>
    <s v="technology/wearables"/>
    <n v="35"/>
    <n v="119.39"/>
    <x v="2"/>
    <x v="8"/>
    <x v="693"/>
    <d v="2015-04-30T19:23:47"/>
    <x v="1"/>
    <x v="0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x v="0"/>
    <n v="7"/>
    <x v="1"/>
    <s v="technology/wearables"/>
    <n v="0"/>
    <n v="84.29"/>
    <x v="2"/>
    <x v="8"/>
    <x v="694"/>
    <d v="2017-02-01T15:55:59"/>
    <x v="1"/>
    <x v="1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x v="0"/>
    <n v="7"/>
    <x v="1"/>
    <s v="technology/wearables"/>
    <n v="1"/>
    <n v="90.86"/>
    <x v="2"/>
    <x v="8"/>
    <x v="695"/>
    <d v="2014-10-31T12:30:20"/>
    <x v="1"/>
    <x v="3"/>
  </r>
  <r>
    <x v="696"/>
    <s v="trustee"/>
    <s v="Show your fidelity by wearing the Trustee rings! Show where you are (at)!"/>
    <x v="164"/>
    <x v="116"/>
    <x v="2"/>
    <x v="9"/>
    <s v="EUR"/>
    <n v="1406326502"/>
    <x v="696"/>
    <x v="0"/>
    <n v="1"/>
    <x v="1"/>
    <s v="technology/wearables"/>
    <n v="0"/>
    <n v="1"/>
    <x v="2"/>
    <x v="8"/>
    <x v="696"/>
    <d v="2014-07-25T22:15:02"/>
    <x v="1"/>
    <x v="3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x v="0"/>
    <n v="114"/>
    <x v="1"/>
    <s v="technology/wearables"/>
    <n v="46"/>
    <n v="20.34"/>
    <x v="2"/>
    <x v="8"/>
    <x v="697"/>
    <d v="2016-02-03T12:33:09"/>
    <x v="20"/>
    <x v="2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x v="0"/>
    <n v="29"/>
    <x v="1"/>
    <s v="technology/wearables"/>
    <n v="15"/>
    <n v="530.69000000000005"/>
    <x v="2"/>
    <x v="8"/>
    <x v="698"/>
    <d v="2014-09-18T02:00:00"/>
    <x v="241"/>
    <x v="3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x v="0"/>
    <n v="890"/>
    <x v="1"/>
    <s v="technology/wearables"/>
    <n v="82"/>
    <n v="120.39"/>
    <x v="2"/>
    <x v="8"/>
    <x v="699"/>
    <d v="2013-11-22T16:00:00"/>
    <x v="242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x v="0"/>
    <n v="31"/>
    <x v="1"/>
    <s v="technology/wearables"/>
    <n v="3"/>
    <n v="13"/>
    <x v="2"/>
    <x v="8"/>
    <x v="700"/>
    <d v="2017-01-10T16:31:21"/>
    <x v="1"/>
    <x v="2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x v="0"/>
    <n v="21"/>
    <x v="1"/>
    <s v="technology/wearables"/>
    <n v="27"/>
    <n v="291.33"/>
    <x v="2"/>
    <x v="8"/>
    <x v="701"/>
    <d v="2014-07-23T15:54:40"/>
    <x v="1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x v="0"/>
    <n v="37"/>
    <x v="1"/>
    <s v="technology/wearables"/>
    <n v="31"/>
    <n v="124.92"/>
    <x v="2"/>
    <x v="8"/>
    <x v="702"/>
    <d v="2016-11-24T18:26:27"/>
    <x v="13"/>
    <x v="2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x v="0"/>
    <n v="7"/>
    <x v="1"/>
    <s v="technology/wearables"/>
    <n v="6"/>
    <n v="119.57"/>
    <x v="2"/>
    <x v="8"/>
    <x v="703"/>
    <d v="2017-01-31T23:32:00"/>
    <x v="243"/>
    <x v="2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x v="0"/>
    <n v="4"/>
    <x v="1"/>
    <s v="technology/wearables"/>
    <n v="1"/>
    <n v="120.25"/>
    <x v="2"/>
    <x v="8"/>
    <x v="704"/>
    <d v="2017-02-20T04:37:48"/>
    <x v="14"/>
    <x v="2"/>
  </r>
  <r>
    <x v="705"/>
    <s v="SomnoScope"/>
    <s v="The closest thing ever to the Holy Grail of wearables technology"/>
    <x v="57"/>
    <x v="518"/>
    <x v="2"/>
    <x v="9"/>
    <s v="EUR"/>
    <n v="1484999278"/>
    <x v="705"/>
    <x v="0"/>
    <n v="5"/>
    <x v="1"/>
    <s v="technology/wearables"/>
    <n v="1"/>
    <n v="195.4"/>
    <x v="2"/>
    <x v="8"/>
    <x v="705"/>
    <d v="2017-01-21T11:47:58"/>
    <x v="1"/>
    <x v="2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x v="0"/>
    <n v="0"/>
    <x v="1"/>
    <s v="technology/wearables"/>
    <n v="0"/>
    <n v="0"/>
    <x v="2"/>
    <x v="8"/>
    <x v="706"/>
    <d v="2016-12-14T18:39:00"/>
    <x v="244"/>
    <x v="2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x v="0"/>
    <n v="456"/>
    <x v="1"/>
    <s v="technology/wearables"/>
    <n v="79"/>
    <n v="117.7"/>
    <x v="2"/>
    <x v="8"/>
    <x v="707"/>
    <d v="2017-01-01T15:55:27"/>
    <x v="4"/>
    <x v="2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x v="0"/>
    <n v="369"/>
    <x v="1"/>
    <s v="technology/wearables"/>
    <n v="22"/>
    <n v="23.95"/>
    <x v="2"/>
    <x v="8"/>
    <x v="708"/>
    <d v="2014-09-13T13:56:40"/>
    <x v="14"/>
    <x v="3"/>
  </r>
  <r>
    <x v="709"/>
    <s v="lumiglove"/>
    <s v="A &quot;handheld&quot; light, which eases the way you illuminate objects and/or paths."/>
    <x v="36"/>
    <x v="377"/>
    <x v="2"/>
    <x v="0"/>
    <s v="USD"/>
    <n v="1417741159"/>
    <x v="709"/>
    <x v="0"/>
    <n v="2"/>
    <x v="1"/>
    <s v="technology/wearables"/>
    <n v="0"/>
    <n v="30.5"/>
    <x v="2"/>
    <x v="8"/>
    <x v="709"/>
    <d v="2014-12-05T00:59:19"/>
    <x v="1"/>
    <x v="3"/>
  </r>
  <r>
    <x v="710"/>
    <s v="Hate York Shirt 2.0"/>
    <s v="Shirts, so technologically advanced, they connect mentally to their audience upon sight."/>
    <x v="38"/>
    <x v="117"/>
    <x v="2"/>
    <x v="5"/>
    <s v="CAD"/>
    <n v="1408495440"/>
    <x v="710"/>
    <x v="0"/>
    <n v="0"/>
    <x v="1"/>
    <s v="technology/wearables"/>
    <n v="0"/>
    <n v="0"/>
    <x v="2"/>
    <x v="8"/>
    <x v="710"/>
    <d v="2014-08-20T00:44:00"/>
    <x v="245"/>
    <x v="3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x v="0"/>
    <n v="338"/>
    <x v="1"/>
    <s v="technology/wearables"/>
    <n v="34"/>
    <n v="99.97"/>
    <x v="2"/>
    <x v="8"/>
    <x v="711"/>
    <d v="2016-12-14T12:01:08"/>
    <x v="182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x v="0"/>
    <n v="4"/>
    <x v="1"/>
    <s v="technology/wearables"/>
    <n v="0"/>
    <n v="26.25"/>
    <x v="2"/>
    <x v="8"/>
    <x v="712"/>
    <d v="2016-02-14T16:20:32"/>
    <x v="1"/>
    <x v="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x v="0"/>
    <n v="1"/>
    <x v="1"/>
    <s v="technology/wearables"/>
    <n v="1"/>
    <n v="199"/>
    <x v="2"/>
    <x v="8"/>
    <x v="713"/>
    <d v="2016-06-05T12:42:12"/>
    <x v="1"/>
    <x v="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x v="0"/>
    <n v="28"/>
    <x v="1"/>
    <s v="technology/wearables"/>
    <n v="15"/>
    <n v="80.319999999999993"/>
    <x v="2"/>
    <x v="8"/>
    <x v="714"/>
    <d v="2017-02-28T18:54:42"/>
    <x v="14"/>
    <x v="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x v="0"/>
    <n v="12"/>
    <x v="1"/>
    <s v="technology/wearables"/>
    <n v="5"/>
    <n v="115.75"/>
    <x v="2"/>
    <x v="8"/>
    <x v="715"/>
    <d v="2015-11-05T03:10:40"/>
    <x v="182"/>
    <x v="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x v="0"/>
    <n v="16"/>
    <x v="1"/>
    <s v="technology/wearables"/>
    <n v="10"/>
    <n v="44.69"/>
    <x v="2"/>
    <x v="8"/>
    <x v="716"/>
    <d v="2014-12-01T00:00:00"/>
    <x v="246"/>
    <x v="3"/>
  </r>
  <r>
    <x v="717"/>
    <s v="cool air belt"/>
    <s v="Cool air flowing under clothing keeps you cool."/>
    <x v="57"/>
    <x v="527"/>
    <x v="2"/>
    <x v="0"/>
    <s v="USD"/>
    <n v="1409949002"/>
    <x v="717"/>
    <x v="0"/>
    <n v="4"/>
    <x v="1"/>
    <s v="technology/wearables"/>
    <n v="0"/>
    <n v="76.25"/>
    <x v="2"/>
    <x v="8"/>
    <x v="717"/>
    <d v="2014-09-05T20:30:02"/>
    <x v="1"/>
    <x v="3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x v="0"/>
    <n v="4"/>
    <x v="1"/>
    <s v="technology/wearables"/>
    <n v="1"/>
    <n v="22.5"/>
    <x v="2"/>
    <x v="8"/>
    <x v="718"/>
    <d v="2017-02-18T05:59:00"/>
    <x v="247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x v="0"/>
    <n v="10"/>
    <x v="1"/>
    <s v="technology/wearables"/>
    <n v="1"/>
    <n v="19.399999999999999"/>
    <x v="2"/>
    <x v="8"/>
    <x v="719"/>
    <d v="2016-02-23T00:57:56"/>
    <x v="59"/>
    <x v="2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x v="0"/>
    <n v="41"/>
    <x v="0"/>
    <s v="publishing/nonfiction"/>
    <n v="144"/>
    <n v="66.709999999999994"/>
    <x v="3"/>
    <x v="9"/>
    <x v="720"/>
    <d v="2012-01-29T15:34:51"/>
    <x v="240"/>
    <x v="5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x v="0"/>
    <n v="119"/>
    <x v="0"/>
    <s v="publishing/nonfiction"/>
    <n v="122"/>
    <n v="84.14"/>
    <x v="3"/>
    <x v="9"/>
    <x v="721"/>
    <d v="2014-08-01T13:43:27"/>
    <x v="26"/>
    <x v="3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x v="0"/>
    <n v="153"/>
    <x v="0"/>
    <s v="publishing/nonfiction"/>
    <n v="132"/>
    <n v="215.73"/>
    <x v="3"/>
    <x v="9"/>
    <x v="722"/>
    <d v="2012-04-08T18:19:38"/>
    <x v="22"/>
    <x v="5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x v="0"/>
    <n v="100"/>
    <x v="0"/>
    <s v="publishing/nonfiction"/>
    <n v="109"/>
    <n v="54.69"/>
    <x v="3"/>
    <x v="9"/>
    <x v="723"/>
    <d v="2015-07-30T03:59:00"/>
    <x v="248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x v="0"/>
    <n v="143"/>
    <x v="0"/>
    <s v="publishing/nonfiction"/>
    <n v="105"/>
    <n v="51.63"/>
    <x v="3"/>
    <x v="9"/>
    <x v="724"/>
    <d v="2011-06-30T15:19:23"/>
    <x v="1"/>
    <x v="6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x v="0"/>
    <n v="140"/>
    <x v="0"/>
    <s v="publishing/nonfiction"/>
    <n v="100"/>
    <n v="143.36000000000001"/>
    <x v="3"/>
    <x v="9"/>
    <x v="725"/>
    <d v="2015-12-13T15:01:52"/>
    <x v="1"/>
    <x v="0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x v="0"/>
    <n v="35"/>
    <x v="0"/>
    <s v="publishing/nonfiction"/>
    <n v="101"/>
    <n v="72.430000000000007"/>
    <x v="3"/>
    <x v="9"/>
    <x v="726"/>
    <d v="2013-04-12T01:01:27"/>
    <x v="1"/>
    <x v="4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x v="0"/>
    <n v="149"/>
    <x v="0"/>
    <s v="publishing/nonfiction"/>
    <n v="156"/>
    <n v="36.53"/>
    <x v="3"/>
    <x v="9"/>
    <x v="727"/>
    <d v="2013-01-14T21:20:00"/>
    <x v="249"/>
    <x v="5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x v="0"/>
    <n v="130"/>
    <x v="0"/>
    <s v="publishing/nonfiction"/>
    <n v="106"/>
    <n v="60.9"/>
    <x v="3"/>
    <x v="9"/>
    <x v="728"/>
    <d v="2011-08-21T20:05:57"/>
    <x v="26"/>
    <x v="6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x v="0"/>
    <n v="120"/>
    <x v="0"/>
    <s v="publishing/nonfiction"/>
    <n v="131"/>
    <n v="43.55"/>
    <x v="3"/>
    <x v="9"/>
    <x v="729"/>
    <d v="2012-09-19T04:27:41"/>
    <x v="14"/>
    <x v="5"/>
  </r>
  <r>
    <x v="730"/>
    <s v="Encyclopedia of Surfing"/>
    <s v="A Massive but Cheerful Online Digital Archive of Surfing"/>
    <x v="22"/>
    <x v="539"/>
    <x v="0"/>
    <x v="0"/>
    <s v="USD"/>
    <n v="1323280391"/>
    <x v="730"/>
    <x v="0"/>
    <n v="265"/>
    <x v="0"/>
    <s v="publishing/nonfiction"/>
    <n v="132"/>
    <n v="99.77"/>
    <x v="3"/>
    <x v="9"/>
    <x v="730"/>
    <d v="2011-12-07T17:53:11"/>
    <x v="1"/>
    <x v="6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x v="0"/>
    <n v="71"/>
    <x v="0"/>
    <s v="publishing/nonfiction"/>
    <n v="126"/>
    <n v="88.73"/>
    <x v="3"/>
    <x v="9"/>
    <x v="731"/>
    <d v="2012-01-22T06:00:00"/>
    <x v="250"/>
    <x v="6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x v="0"/>
    <n v="13"/>
    <x v="0"/>
    <s v="publishing/nonfiction"/>
    <n v="160"/>
    <n v="4.92"/>
    <x v="3"/>
    <x v="9"/>
    <x v="732"/>
    <d v="2013-09-29T10:11:01"/>
    <x v="14"/>
    <x v="4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x v="0"/>
    <n v="169"/>
    <x v="0"/>
    <s v="publishing/nonfiction"/>
    <n v="120"/>
    <n v="17.82"/>
    <x v="3"/>
    <x v="9"/>
    <x v="733"/>
    <d v="2013-12-20T10:04:52"/>
    <x v="1"/>
    <x v="4"/>
  </r>
  <r>
    <x v="734"/>
    <s v="Sideswiped"/>
    <s v="Sideswiped is my story of growing in and trusting God through the mess and mysteries of life."/>
    <x v="0"/>
    <x v="543"/>
    <x v="0"/>
    <x v="5"/>
    <s v="CAD"/>
    <n v="1431147600"/>
    <x v="734"/>
    <x v="0"/>
    <n v="57"/>
    <x v="0"/>
    <s v="publishing/nonfiction"/>
    <n v="126"/>
    <n v="187.19"/>
    <x v="3"/>
    <x v="9"/>
    <x v="734"/>
    <d v="2015-05-09T05:00:00"/>
    <x v="160"/>
    <x v="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x v="0"/>
    <n v="229"/>
    <x v="0"/>
    <s v="publishing/nonfiction"/>
    <n v="114"/>
    <n v="234.81"/>
    <x v="3"/>
    <x v="9"/>
    <x v="735"/>
    <d v="2014-12-04T00:39:00"/>
    <x v="102"/>
    <x v="3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x v="0"/>
    <n v="108"/>
    <x v="0"/>
    <s v="publishing/nonfiction"/>
    <n v="315"/>
    <n v="105.05"/>
    <x v="3"/>
    <x v="9"/>
    <x v="736"/>
    <d v="2013-11-21T04:59:00"/>
    <x v="251"/>
    <x v="4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x v="0"/>
    <n v="108"/>
    <x v="0"/>
    <s v="publishing/nonfiction"/>
    <n v="122"/>
    <n v="56.67"/>
    <x v="3"/>
    <x v="9"/>
    <x v="737"/>
    <d v="2014-02-14T20:00:00"/>
    <x v="252"/>
    <x v="3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x v="0"/>
    <n v="41"/>
    <x v="0"/>
    <s v="publishing/nonfiction"/>
    <n v="107"/>
    <n v="39.049999999999997"/>
    <x v="3"/>
    <x v="9"/>
    <x v="738"/>
    <d v="2014-12-01T04:59:00"/>
    <x v="253"/>
    <x v="3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x v="0"/>
    <n v="139"/>
    <x v="0"/>
    <s v="publishing/nonfiction"/>
    <n v="158"/>
    <n v="68.349999999999994"/>
    <x v="3"/>
    <x v="9"/>
    <x v="739"/>
    <d v="2014-08-11T12:03:49"/>
    <x v="17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x v="0"/>
    <n v="19"/>
    <x v="0"/>
    <s v="publishing/nonfiction"/>
    <n v="107"/>
    <n v="169.58"/>
    <x v="3"/>
    <x v="9"/>
    <x v="740"/>
    <d v="2015-06-21T03:31:22"/>
    <x v="59"/>
    <x v="0"/>
  </r>
  <r>
    <x v="741"/>
    <s v="reVILNA: the vilna ghetto project"/>
    <s v="A revolutionary digital mapping project of the Vilna Ghetto"/>
    <x v="93"/>
    <x v="550"/>
    <x v="0"/>
    <x v="0"/>
    <s v="USD"/>
    <n v="1370964806"/>
    <x v="741"/>
    <x v="0"/>
    <n v="94"/>
    <x v="0"/>
    <s v="publishing/nonfiction"/>
    <n v="102"/>
    <n v="141.41999999999999"/>
    <x v="3"/>
    <x v="9"/>
    <x v="741"/>
    <d v="2013-06-11T15:33:26"/>
    <x v="6"/>
    <x v="4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x v="0"/>
    <n v="23"/>
    <x v="0"/>
    <s v="publishing/nonfiction"/>
    <n v="111"/>
    <n v="67.39"/>
    <x v="3"/>
    <x v="9"/>
    <x v="742"/>
    <d v="2014-03-21T21:01:52"/>
    <x v="22"/>
    <x v="3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x v="0"/>
    <n v="15"/>
    <x v="0"/>
    <s v="publishing/nonfiction"/>
    <n v="148"/>
    <n v="54.27"/>
    <x v="3"/>
    <x v="9"/>
    <x v="743"/>
    <d v="2012-04-16T21:00:00"/>
    <x v="254"/>
    <x v="5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x v="0"/>
    <n v="62"/>
    <x v="0"/>
    <s v="publishing/nonfiction"/>
    <n v="102"/>
    <n v="82.52"/>
    <x v="3"/>
    <x v="9"/>
    <x v="744"/>
    <d v="2012-12-13T22:58:23"/>
    <x v="1"/>
    <x v="5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x v="0"/>
    <n v="74"/>
    <x v="0"/>
    <s v="publishing/nonfiction"/>
    <n v="179"/>
    <n v="53.73"/>
    <x v="3"/>
    <x v="9"/>
    <x v="745"/>
    <d v="2013-05-03T13:44:05"/>
    <x v="1"/>
    <x v="4"/>
  </r>
  <r>
    <x v="746"/>
    <s v="Attention: People With Body Parts"/>
    <s v="This is a book of letters. Letters to our body parts."/>
    <x v="174"/>
    <x v="555"/>
    <x v="0"/>
    <x v="0"/>
    <s v="USD"/>
    <n v="1348372740"/>
    <x v="746"/>
    <x v="0"/>
    <n v="97"/>
    <x v="0"/>
    <s v="publishing/nonfiction"/>
    <n v="111"/>
    <n v="34.21"/>
    <x v="3"/>
    <x v="9"/>
    <x v="746"/>
    <d v="2012-09-23T03:59:00"/>
    <x v="255"/>
    <x v="5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x v="0"/>
    <n v="55"/>
    <x v="0"/>
    <s v="publishing/nonfiction"/>
    <n v="100"/>
    <n v="127.33"/>
    <x v="3"/>
    <x v="9"/>
    <x v="747"/>
    <d v="2015-01-15T10:54:00"/>
    <x v="23"/>
    <x v="3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x v="0"/>
    <n v="44"/>
    <x v="0"/>
    <s v="publishing/nonfiction"/>
    <n v="100"/>
    <n v="45.57"/>
    <x v="3"/>
    <x v="9"/>
    <x v="748"/>
    <d v="2014-08-10T20:19:26"/>
    <x v="1"/>
    <x v="3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x v="0"/>
    <n v="110"/>
    <x v="0"/>
    <s v="publishing/nonfiction"/>
    <n v="106"/>
    <n v="95.96"/>
    <x v="3"/>
    <x v="9"/>
    <x v="749"/>
    <d v="2017-01-28T22:35:30"/>
    <x v="1"/>
    <x v="2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x v="0"/>
    <n v="59"/>
    <x v="0"/>
    <s v="publishing/nonfiction"/>
    <n v="103"/>
    <n v="77.27"/>
    <x v="3"/>
    <x v="9"/>
    <x v="750"/>
    <d v="2013-02-24T21:04:32"/>
    <x v="1"/>
    <x v="4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x v="0"/>
    <n v="62"/>
    <x v="0"/>
    <s v="publishing/nonfiction"/>
    <n v="119"/>
    <n v="57.34"/>
    <x v="3"/>
    <x v="9"/>
    <x v="751"/>
    <d v="2011-08-04T15:07:55"/>
    <x v="256"/>
    <x v="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x v="0"/>
    <n v="105"/>
    <x v="0"/>
    <s v="publishing/nonfiction"/>
    <n v="112"/>
    <n v="53.19"/>
    <x v="3"/>
    <x v="9"/>
    <x v="752"/>
    <d v="2016-10-16T11:00:00"/>
    <x v="54"/>
    <x v="2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x v="0"/>
    <n v="26"/>
    <x v="0"/>
    <s v="publishing/nonfiction"/>
    <n v="128"/>
    <n v="492.31"/>
    <x v="3"/>
    <x v="9"/>
    <x v="753"/>
    <d v="2015-02-14T14:09:51"/>
    <x v="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x v="0"/>
    <n v="49"/>
    <x v="0"/>
    <s v="publishing/nonfiction"/>
    <n v="104"/>
    <n v="42.35"/>
    <x v="3"/>
    <x v="9"/>
    <x v="754"/>
    <d v="2013-01-05T17:58:41"/>
    <x v="1"/>
    <x v="5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x v="0"/>
    <n v="68"/>
    <x v="0"/>
    <s v="publishing/nonfiction"/>
    <n v="102"/>
    <n v="37.47"/>
    <x v="3"/>
    <x v="9"/>
    <x v="755"/>
    <d v="2013-05-20T00:41:00"/>
    <x v="257"/>
    <x v="4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x v="0"/>
    <n v="22"/>
    <x v="0"/>
    <s v="publishing/nonfiction"/>
    <n v="118"/>
    <n v="37.450000000000003"/>
    <x v="3"/>
    <x v="9"/>
    <x v="756"/>
    <d v="2011-04-18T17:24:19"/>
    <x v="258"/>
    <x v="6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x v="0"/>
    <n v="18"/>
    <x v="0"/>
    <s v="publishing/nonfiction"/>
    <n v="238"/>
    <n v="33.06"/>
    <x v="3"/>
    <x v="9"/>
    <x v="757"/>
    <d v="2012-12-06T01:18:34"/>
    <x v="59"/>
    <x v="5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x v="758"/>
    <x v="0"/>
    <n v="19"/>
    <x v="0"/>
    <s v="publishing/nonfiction"/>
    <n v="102"/>
    <n v="134.21"/>
    <x v="3"/>
    <x v="9"/>
    <x v="758"/>
    <d v="2010-10-08T20:04:28"/>
    <x v="1"/>
    <x v="7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x v="0"/>
    <n v="99"/>
    <x v="0"/>
    <s v="publishing/nonfiction"/>
    <n v="102"/>
    <n v="51.47"/>
    <x v="3"/>
    <x v="9"/>
    <x v="759"/>
    <d v="2014-07-09T07:55:39"/>
    <x v="4"/>
    <x v="3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x v="0"/>
    <n v="0"/>
    <x v="1"/>
    <s v="publishing/fiction"/>
    <n v="0"/>
    <n v="0"/>
    <x v="3"/>
    <x v="10"/>
    <x v="760"/>
    <d v="2016-11-26T19:20:13"/>
    <x v="13"/>
    <x v="2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x v="0"/>
    <n v="6"/>
    <x v="1"/>
    <s v="publishing/fiction"/>
    <n v="5"/>
    <n v="39.17"/>
    <x v="3"/>
    <x v="10"/>
    <x v="761"/>
    <d v="2014-02-02T18:02:06"/>
    <x v="1"/>
    <x v="3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x v="0"/>
    <n v="0"/>
    <x v="1"/>
    <s v="publishing/fiction"/>
    <n v="0"/>
    <n v="0"/>
    <x v="3"/>
    <x v="10"/>
    <x v="762"/>
    <d v="2016-12-04T06:00:00"/>
    <x v="259"/>
    <x v="2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x v="0"/>
    <n v="1"/>
    <x v="1"/>
    <s v="publishing/fiction"/>
    <n v="0"/>
    <n v="5"/>
    <x v="3"/>
    <x v="10"/>
    <x v="763"/>
    <d v="2013-08-15T10:43:28"/>
    <x v="1"/>
    <x v="4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x v="0"/>
    <n v="0"/>
    <x v="1"/>
    <s v="publishing/fiction"/>
    <n v="0"/>
    <n v="0"/>
    <x v="3"/>
    <x v="10"/>
    <x v="764"/>
    <d v="2015-09-10T04:09:21"/>
    <x v="1"/>
    <x v="0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x v="0"/>
    <n v="44"/>
    <x v="1"/>
    <s v="publishing/fiction"/>
    <n v="36"/>
    <n v="57.3"/>
    <x v="3"/>
    <x v="10"/>
    <x v="765"/>
    <d v="2014-10-19T13:01:24"/>
    <x v="1"/>
    <x v="3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x v="0"/>
    <n v="0"/>
    <x v="1"/>
    <s v="publishing/fiction"/>
    <n v="0"/>
    <n v="0"/>
    <x v="3"/>
    <x v="10"/>
    <x v="766"/>
    <d v="2015-02-16T18:48:03"/>
    <x v="1"/>
    <x v="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x v="0"/>
    <n v="3"/>
    <x v="1"/>
    <s v="publishing/fiction"/>
    <n v="4"/>
    <n v="59"/>
    <x v="3"/>
    <x v="10"/>
    <x v="767"/>
    <d v="2015-05-21T03:26:50"/>
    <x v="1"/>
    <x v="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x v="0"/>
    <n v="0"/>
    <x v="1"/>
    <s v="publishing/fiction"/>
    <n v="0"/>
    <n v="0"/>
    <x v="3"/>
    <x v="10"/>
    <x v="768"/>
    <d v="2013-12-16T04:58:10"/>
    <x v="1"/>
    <x v="4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x v="0"/>
    <n v="52"/>
    <x v="1"/>
    <s v="publishing/fiction"/>
    <n v="41"/>
    <n v="31.85"/>
    <x v="3"/>
    <x v="10"/>
    <x v="769"/>
    <d v="2013-12-26T23:54:54"/>
    <x v="1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x v="0"/>
    <n v="0"/>
    <x v="1"/>
    <s v="publishing/fiction"/>
    <n v="0"/>
    <n v="0"/>
    <x v="3"/>
    <x v="10"/>
    <x v="770"/>
    <d v="2013-02-24T23:59:29"/>
    <x v="4"/>
    <x v="4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x v="0"/>
    <n v="1"/>
    <x v="1"/>
    <s v="publishing/fiction"/>
    <n v="0"/>
    <n v="10"/>
    <x v="3"/>
    <x v="10"/>
    <x v="771"/>
    <d v="2016-01-30T19:46:42"/>
    <x v="76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x v="0"/>
    <n v="1"/>
    <x v="1"/>
    <s v="publishing/fiction"/>
    <n v="3"/>
    <n v="50"/>
    <x v="3"/>
    <x v="10"/>
    <x v="772"/>
    <d v="2009-11-01T03:59:00"/>
    <x v="260"/>
    <x v="8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x v="0"/>
    <n v="2"/>
    <x v="1"/>
    <s v="publishing/fiction"/>
    <n v="1"/>
    <n v="16"/>
    <x v="3"/>
    <x v="10"/>
    <x v="773"/>
    <d v="2015-05-10T23:01:00"/>
    <x v="261"/>
    <x v="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x v="0"/>
    <n v="9"/>
    <x v="1"/>
    <s v="publishing/fiction"/>
    <n v="70"/>
    <n v="39"/>
    <x v="3"/>
    <x v="10"/>
    <x v="774"/>
    <d v="2014-02-23T18:43:38"/>
    <x v="1"/>
    <x v="3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x v="0"/>
    <n v="5"/>
    <x v="1"/>
    <s v="publishing/fiction"/>
    <n v="2"/>
    <n v="34"/>
    <x v="3"/>
    <x v="10"/>
    <x v="775"/>
    <d v="2011-12-16T01:26:35"/>
    <x v="1"/>
    <x v="6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x v="0"/>
    <n v="57"/>
    <x v="1"/>
    <s v="publishing/fiction"/>
    <n v="51"/>
    <n v="63.12"/>
    <x v="3"/>
    <x v="10"/>
    <x v="776"/>
    <d v="2015-10-11T05:00:00"/>
    <x v="262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x v="0"/>
    <n v="3"/>
    <x v="1"/>
    <s v="publishing/fiction"/>
    <n v="1"/>
    <n v="7"/>
    <x v="3"/>
    <x v="10"/>
    <x v="777"/>
    <d v="2013-07-31T23:32:57"/>
    <x v="1"/>
    <x v="4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x v="0"/>
    <n v="1"/>
    <x v="1"/>
    <s v="publishing/fiction"/>
    <n v="0"/>
    <n v="2"/>
    <x v="3"/>
    <x v="10"/>
    <x v="778"/>
    <d v="2014-04-30T16:51:20"/>
    <x v="1"/>
    <x v="3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x v="0"/>
    <n v="6"/>
    <x v="1"/>
    <s v="publishing/fiction"/>
    <n v="3"/>
    <n v="66.67"/>
    <x v="3"/>
    <x v="10"/>
    <x v="779"/>
    <d v="2010-10-15T04:00:00"/>
    <x v="263"/>
    <x v="7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x v="0"/>
    <n v="27"/>
    <x v="0"/>
    <s v="music/rock"/>
    <n v="104"/>
    <n v="38.520000000000003"/>
    <x v="4"/>
    <x v="11"/>
    <x v="780"/>
    <d v="2011-05-03T16:10:25"/>
    <x v="1"/>
    <x v="6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x v="0"/>
    <n v="25"/>
    <x v="0"/>
    <s v="music/rock"/>
    <n v="133"/>
    <n v="42.61"/>
    <x v="4"/>
    <x v="11"/>
    <x v="781"/>
    <d v="2013-06-08T00:01:14"/>
    <x v="1"/>
    <x v="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x v="0"/>
    <n v="14"/>
    <x v="0"/>
    <s v="music/rock"/>
    <n v="100"/>
    <n v="50"/>
    <x v="4"/>
    <x v="11"/>
    <x v="782"/>
    <d v="2012-08-25T18:11:42"/>
    <x v="1"/>
    <x v="5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x v="0"/>
    <n v="35"/>
    <x v="0"/>
    <s v="music/rock"/>
    <n v="148"/>
    <n v="63.49"/>
    <x v="4"/>
    <x v="11"/>
    <x v="783"/>
    <d v="2012-04-27T22:00:00"/>
    <x v="264"/>
    <x v="5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x v="0"/>
    <n v="10"/>
    <x v="0"/>
    <s v="music/rock"/>
    <n v="103"/>
    <n v="102.5"/>
    <x v="4"/>
    <x v="11"/>
    <x v="784"/>
    <d v="2014-03-17T02:35:19"/>
    <x v="136"/>
    <x v="3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x v="0"/>
    <n v="29"/>
    <x v="0"/>
    <s v="music/rock"/>
    <n v="181"/>
    <n v="31.14"/>
    <x v="4"/>
    <x v="11"/>
    <x v="785"/>
    <d v="2013-02-28T14:15:15"/>
    <x v="1"/>
    <x v="4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x v="0"/>
    <n v="44"/>
    <x v="0"/>
    <s v="music/rock"/>
    <n v="143"/>
    <n v="162.27000000000001"/>
    <x v="4"/>
    <x v="11"/>
    <x v="786"/>
    <d v="2012-05-11T15:47:00"/>
    <x v="265"/>
    <x v="5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x v="0"/>
    <n v="17"/>
    <x v="0"/>
    <s v="music/rock"/>
    <n v="114"/>
    <n v="80.59"/>
    <x v="4"/>
    <x v="11"/>
    <x v="787"/>
    <d v="2013-11-01T15:03:46"/>
    <x v="1"/>
    <x v="4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x v="0"/>
    <n v="34"/>
    <x v="0"/>
    <s v="music/rock"/>
    <n v="204"/>
    <n v="59.85"/>
    <x v="4"/>
    <x v="11"/>
    <x v="788"/>
    <d v="2012-07-07T03:59:00"/>
    <x v="266"/>
    <x v="5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x v="0"/>
    <n v="14"/>
    <x v="0"/>
    <s v="music/rock"/>
    <n v="109"/>
    <n v="132.86000000000001"/>
    <x v="4"/>
    <x v="11"/>
    <x v="789"/>
    <d v="2013-01-21T07:59:00"/>
    <x v="267"/>
    <x v="4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x v="0"/>
    <n v="156"/>
    <x v="0"/>
    <s v="music/rock"/>
    <n v="144"/>
    <n v="92.55"/>
    <x v="4"/>
    <x v="11"/>
    <x v="790"/>
    <d v="2013-02-01T01:08:59"/>
    <x v="1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x v="0"/>
    <n v="128"/>
    <x v="0"/>
    <s v="music/rock"/>
    <n v="104"/>
    <n v="60.86"/>
    <x v="4"/>
    <x v="11"/>
    <x v="791"/>
    <d v="2013-11-13T05:59:00"/>
    <x v="236"/>
    <x v="4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x v="792"/>
    <x v="0"/>
    <n v="60"/>
    <x v="0"/>
    <s v="music/rock"/>
    <n v="100"/>
    <n v="41.85"/>
    <x v="4"/>
    <x v="11"/>
    <x v="792"/>
    <d v="2013-11-07T21:58:03"/>
    <x v="13"/>
    <x v="4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x v="0"/>
    <n v="32"/>
    <x v="0"/>
    <s v="music/rock"/>
    <n v="103"/>
    <n v="88.33"/>
    <x v="4"/>
    <x v="11"/>
    <x v="793"/>
    <d v="2013-07-03T04:59:00"/>
    <x v="268"/>
    <x v="4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x v="0"/>
    <n v="53"/>
    <x v="0"/>
    <s v="music/rock"/>
    <n v="105"/>
    <n v="158.96"/>
    <x v="4"/>
    <x v="11"/>
    <x v="794"/>
    <d v="2011-09-05T17:06:00"/>
    <x v="269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x v="0"/>
    <n v="184"/>
    <x v="0"/>
    <s v="music/rock"/>
    <n v="112"/>
    <n v="85.05"/>
    <x v="4"/>
    <x v="11"/>
    <x v="795"/>
    <d v="2012-04-07T04:59:00"/>
    <x v="270"/>
    <x v="5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x v="0"/>
    <n v="90"/>
    <x v="0"/>
    <s v="music/rock"/>
    <n v="101"/>
    <n v="112.61"/>
    <x v="4"/>
    <x v="11"/>
    <x v="796"/>
    <d v="2013-09-15T21:10:00"/>
    <x v="1"/>
    <x v="4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x v="0"/>
    <n v="71"/>
    <x v="0"/>
    <s v="music/rock"/>
    <n v="108"/>
    <n v="45.44"/>
    <x v="4"/>
    <x v="11"/>
    <x v="797"/>
    <d v="2012-04-29T04:00:00"/>
    <x v="271"/>
    <x v="5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x v="0"/>
    <n v="87"/>
    <x v="0"/>
    <s v="music/rock"/>
    <n v="115"/>
    <n v="46.22"/>
    <x v="4"/>
    <x v="11"/>
    <x v="798"/>
    <d v="2014-09-30T14:09:47"/>
    <x v="1"/>
    <x v="3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x v="0"/>
    <n v="28"/>
    <x v="0"/>
    <s v="music/rock"/>
    <n v="100"/>
    <n v="178.61"/>
    <x v="4"/>
    <x v="11"/>
    <x v="799"/>
    <d v="2012-04-27T16:00:46"/>
    <x v="1"/>
    <x v="5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x v="0"/>
    <n v="56"/>
    <x v="0"/>
    <s v="music/rock"/>
    <n v="152"/>
    <n v="40.75"/>
    <x v="4"/>
    <x v="11"/>
    <x v="800"/>
    <d v="2014-09-11T10:24:14"/>
    <x v="1"/>
    <x v="3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x v="0"/>
    <n v="51"/>
    <x v="0"/>
    <s v="music/rock"/>
    <n v="112"/>
    <n v="43.73"/>
    <x v="4"/>
    <x v="11"/>
    <x v="801"/>
    <d v="2011-07-01T19:05:20"/>
    <x v="1"/>
    <x v="6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x v="0"/>
    <n v="75"/>
    <x v="0"/>
    <s v="music/rock"/>
    <n v="101"/>
    <n v="81.069999999999993"/>
    <x v="4"/>
    <x v="11"/>
    <x v="802"/>
    <d v="2012-09-17T04:05:00"/>
    <x v="272"/>
    <x v="5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x v="0"/>
    <n v="38"/>
    <x v="0"/>
    <s v="music/rock"/>
    <n v="123"/>
    <n v="74.61"/>
    <x v="4"/>
    <x v="11"/>
    <x v="803"/>
    <d v="2011-05-29T01:00:00"/>
    <x v="273"/>
    <x v="6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x v="0"/>
    <n v="18"/>
    <x v="0"/>
    <s v="music/rock"/>
    <n v="100"/>
    <n v="305.56"/>
    <x v="4"/>
    <x v="11"/>
    <x v="804"/>
    <d v="2011-07-23T03:59:00"/>
    <x v="274"/>
    <x v="6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x v="0"/>
    <n v="54"/>
    <x v="0"/>
    <s v="music/rock"/>
    <n v="105"/>
    <n v="58.33"/>
    <x v="4"/>
    <x v="11"/>
    <x v="805"/>
    <d v="2011-07-16T23:00:00"/>
    <x v="275"/>
    <x v="6"/>
  </r>
  <r>
    <x v="806"/>
    <s v="Golden Animals NEW Album!"/>
    <s v="Help Golden Animals finish their NEW Album!"/>
    <x v="6"/>
    <x v="603"/>
    <x v="0"/>
    <x v="0"/>
    <s v="USD"/>
    <n v="1315413339"/>
    <x v="806"/>
    <x v="0"/>
    <n v="71"/>
    <x v="0"/>
    <s v="music/rock"/>
    <n v="104"/>
    <n v="117.68"/>
    <x v="4"/>
    <x v="11"/>
    <x v="806"/>
    <d v="2011-09-07T16:35:39"/>
    <x v="1"/>
    <x v="6"/>
  </r>
  <r>
    <x v="807"/>
    <s v="Sic Vita - New EP Release - 2017"/>
    <s v="Join the Sic Vita family and lend a hand as we create a new album!"/>
    <x v="23"/>
    <x v="604"/>
    <x v="0"/>
    <x v="0"/>
    <s v="USD"/>
    <n v="1488333600"/>
    <x v="807"/>
    <x v="0"/>
    <n v="57"/>
    <x v="0"/>
    <s v="music/rock"/>
    <n v="105"/>
    <n v="73.77"/>
    <x v="4"/>
    <x v="11"/>
    <x v="807"/>
    <d v="2017-03-01T02:00:00"/>
    <x v="276"/>
    <x v="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x v="0"/>
    <n v="43"/>
    <x v="0"/>
    <s v="music/rock"/>
    <n v="100"/>
    <n v="104.65"/>
    <x v="4"/>
    <x v="11"/>
    <x v="808"/>
    <d v="2014-12-22T04:59:00"/>
    <x v="277"/>
    <x v="3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x v="809"/>
    <x v="0"/>
    <n v="52"/>
    <x v="0"/>
    <s v="music/rock"/>
    <n v="104"/>
    <n v="79.83"/>
    <x v="4"/>
    <x v="11"/>
    <x v="809"/>
    <d v="2014-01-19T20:00:30"/>
    <x v="1"/>
    <x v="4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x v="0"/>
    <n v="27"/>
    <x v="0"/>
    <s v="music/rock"/>
    <n v="105"/>
    <n v="58.33"/>
    <x v="4"/>
    <x v="11"/>
    <x v="810"/>
    <d v="2012-09-01T01:21:02"/>
    <x v="1"/>
    <x v="5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x v="811"/>
    <x v="0"/>
    <n v="12"/>
    <x v="0"/>
    <s v="music/rock"/>
    <n v="104"/>
    <n v="86.67"/>
    <x v="4"/>
    <x v="11"/>
    <x v="811"/>
    <d v="2013-07-10T16:52:00"/>
    <x v="278"/>
    <x v="4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x v="0"/>
    <n v="33"/>
    <x v="0"/>
    <s v="music/rock"/>
    <n v="152"/>
    <n v="27.61"/>
    <x v="4"/>
    <x v="11"/>
    <x v="812"/>
    <d v="2013-03-01T13:58:00"/>
    <x v="279"/>
    <x v="4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x v="813"/>
    <x v="0"/>
    <n v="96"/>
    <x v="0"/>
    <s v="music/rock"/>
    <n v="160"/>
    <n v="25"/>
    <x v="4"/>
    <x v="11"/>
    <x v="813"/>
    <d v="2012-07-20T23:02:45"/>
    <x v="1"/>
    <x v="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x v="0"/>
    <n v="28"/>
    <x v="0"/>
    <s v="music/rock"/>
    <n v="127"/>
    <n v="45.46"/>
    <x v="4"/>
    <x v="11"/>
    <x v="814"/>
    <d v="2011-05-31T18:04:00"/>
    <x v="280"/>
    <x v="6"/>
  </r>
  <r>
    <x v="815"/>
    <s v="Some Late Help for The Early Reset"/>
    <s v="Be a part of helping The Early Reset finish their new 7 song EP."/>
    <x v="23"/>
    <x v="611"/>
    <x v="0"/>
    <x v="0"/>
    <s v="USD"/>
    <n v="1414879303"/>
    <x v="815"/>
    <x v="0"/>
    <n v="43"/>
    <x v="0"/>
    <s v="music/rock"/>
    <n v="107"/>
    <n v="99.53"/>
    <x v="4"/>
    <x v="11"/>
    <x v="815"/>
    <d v="2014-11-01T22:01:43"/>
    <x v="1"/>
    <x v="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x v="0"/>
    <n v="205"/>
    <x v="0"/>
    <s v="music/rock"/>
    <n v="115"/>
    <n v="39.31"/>
    <x v="4"/>
    <x v="11"/>
    <x v="816"/>
    <d v="2013-04-09T06:30:00"/>
    <x v="247"/>
    <x v="4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x v="0"/>
    <n v="23"/>
    <x v="0"/>
    <s v="music/rock"/>
    <n v="137"/>
    <n v="89.42"/>
    <x v="4"/>
    <x v="11"/>
    <x v="817"/>
    <d v="2012-03-11T04:59:00"/>
    <x v="281"/>
    <x v="5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x v="0"/>
    <n v="19"/>
    <x v="0"/>
    <s v="music/rock"/>
    <n v="156"/>
    <n v="28.68"/>
    <x v="4"/>
    <x v="11"/>
    <x v="818"/>
    <d v="2012-08-07T17:01:00"/>
    <x v="282"/>
    <x v="5"/>
  </r>
  <r>
    <x v="819"/>
    <s v="Winter Tour"/>
    <s v="We are touring the Southeast in support of our new EP"/>
    <x v="44"/>
    <x v="140"/>
    <x v="0"/>
    <x v="0"/>
    <s v="USD"/>
    <n v="1387601040"/>
    <x v="819"/>
    <x v="0"/>
    <n v="14"/>
    <x v="0"/>
    <s v="music/rock"/>
    <n v="109"/>
    <n v="31.07"/>
    <x v="4"/>
    <x v="11"/>
    <x v="819"/>
    <d v="2013-12-21T04:44:00"/>
    <x v="283"/>
    <x v="4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x v="0"/>
    <n v="38"/>
    <x v="0"/>
    <s v="music/rock"/>
    <n v="134"/>
    <n v="70.55"/>
    <x v="4"/>
    <x v="11"/>
    <x v="820"/>
    <d v="2014-06-09T05:00:00"/>
    <x v="284"/>
    <x v="3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x v="0"/>
    <n v="78"/>
    <x v="0"/>
    <s v="music/rock"/>
    <n v="100"/>
    <n v="224.13"/>
    <x v="4"/>
    <x v="11"/>
    <x v="821"/>
    <d v="2015-05-04T04:01:00"/>
    <x v="285"/>
    <x v="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x v="0"/>
    <n v="69"/>
    <x v="0"/>
    <s v="music/rock"/>
    <n v="119"/>
    <n v="51.81"/>
    <x v="4"/>
    <x v="11"/>
    <x v="822"/>
    <d v="2012-10-05T22:44:10"/>
    <x v="1"/>
    <x v="5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x v="0"/>
    <n v="33"/>
    <x v="0"/>
    <s v="music/rock"/>
    <n v="180"/>
    <n v="43.52"/>
    <x v="4"/>
    <x v="11"/>
    <x v="823"/>
    <d v="2015-03-22T22:20:52"/>
    <x v="22"/>
    <x v="0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x v="0"/>
    <n v="54"/>
    <x v="0"/>
    <s v="music/rock"/>
    <n v="134"/>
    <n v="39.82"/>
    <x v="4"/>
    <x v="11"/>
    <x v="824"/>
    <d v="2010-04-18T06:59:00"/>
    <x v="286"/>
    <x v="7"/>
  </r>
  <r>
    <x v="825"/>
    <s v="KILL FREEMAN"/>
    <s v="Kickstarting Kill Freeman independently. Help fund the New Record, Video and Live Shows."/>
    <x v="78"/>
    <x v="620"/>
    <x v="0"/>
    <x v="0"/>
    <s v="USD"/>
    <n v="1351495284"/>
    <x v="825"/>
    <x v="0"/>
    <n v="99"/>
    <x v="0"/>
    <s v="music/rock"/>
    <n v="100"/>
    <n v="126.81"/>
    <x v="4"/>
    <x v="11"/>
    <x v="825"/>
    <d v="2012-10-29T07:21:24"/>
    <x v="36"/>
    <x v="5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x v="0"/>
    <n v="49"/>
    <x v="0"/>
    <s v="music/rock"/>
    <n v="101"/>
    <n v="113.88"/>
    <x v="4"/>
    <x v="11"/>
    <x v="826"/>
    <d v="2012-03-25T23:55:30"/>
    <x v="287"/>
    <x v="5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x v="0"/>
    <n v="11"/>
    <x v="0"/>
    <s v="music/rock"/>
    <n v="103"/>
    <n v="28.18"/>
    <x v="4"/>
    <x v="11"/>
    <x v="827"/>
    <d v="2012-02-14T19:49:00"/>
    <x v="288"/>
    <x v="5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x v="0"/>
    <n v="38"/>
    <x v="0"/>
    <s v="music/rock"/>
    <n v="107"/>
    <n v="36.61"/>
    <x v="4"/>
    <x v="11"/>
    <x v="828"/>
    <d v="2012-06-25T16:24:00"/>
    <x v="289"/>
    <x v="5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x v="0"/>
    <n v="16"/>
    <x v="0"/>
    <s v="music/rock"/>
    <n v="104"/>
    <n v="32.5"/>
    <x v="4"/>
    <x v="11"/>
    <x v="829"/>
    <d v="2016-07-13T19:14:00"/>
    <x v="14"/>
    <x v="2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x v="0"/>
    <n v="32"/>
    <x v="0"/>
    <s v="music/rock"/>
    <n v="108"/>
    <n v="60.66"/>
    <x v="4"/>
    <x v="11"/>
    <x v="830"/>
    <d v="2013-03-22T11:37:05"/>
    <x v="22"/>
    <x v="4"/>
  </r>
  <r>
    <x v="831"/>
    <s v="Let The 7Horse Run!"/>
    <s v="7Horse is a new band with a self-funded album and a show they want to rock in your town!"/>
    <x v="15"/>
    <x v="98"/>
    <x v="0"/>
    <x v="0"/>
    <s v="USD"/>
    <n v="1335540694"/>
    <x v="831"/>
    <x v="0"/>
    <n v="20"/>
    <x v="0"/>
    <s v="music/rock"/>
    <n v="233"/>
    <n v="175"/>
    <x v="4"/>
    <x v="11"/>
    <x v="831"/>
    <d v="2012-04-27T15:31:34"/>
    <x v="1"/>
    <x v="5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x v="0"/>
    <n v="154"/>
    <x v="0"/>
    <s v="music/rock"/>
    <n v="101"/>
    <n v="97.99"/>
    <x v="4"/>
    <x v="11"/>
    <x v="832"/>
    <d v="2012-01-21T08:13:00"/>
    <x v="290"/>
    <x v="6"/>
  </r>
  <r>
    <x v="833"/>
    <s v="Ragman Rolls"/>
    <s v="This is an American rock album."/>
    <x v="12"/>
    <x v="627"/>
    <x v="0"/>
    <x v="0"/>
    <s v="USD"/>
    <n v="1397941475"/>
    <x v="833"/>
    <x v="0"/>
    <n v="41"/>
    <x v="0"/>
    <s v="music/rock"/>
    <n v="102"/>
    <n v="148.78"/>
    <x v="4"/>
    <x v="11"/>
    <x v="833"/>
    <d v="2014-04-19T21:04:35"/>
    <x v="1"/>
    <x v="3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x v="0"/>
    <n v="75"/>
    <x v="0"/>
    <s v="music/rock"/>
    <n v="131"/>
    <n v="96.08"/>
    <x v="4"/>
    <x v="11"/>
    <x v="834"/>
    <d v="2013-07-01T03:59:00"/>
    <x v="246"/>
    <x v="4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x v="0"/>
    <n v="40"/>
    <x v="0"/>
    <s v="music/rock"/>
    <n v="117"/>
    <n v="58.63"/>
    <x v="4"/>
    <x v="11"/>
    <x v="835"/>
    <d v="2012-05-19T03:00:00"/>
    <x v="291"/>
    <x v="5"/>
  </r>
  <r>
    <x v="836"/>
    <s v="DESMADRE Full Album + Press Kit"/>
    <s v="An album you can bring home to mom."/>
    <x v="10"/>
    <x v="630"/>
    <x v="0"/>
    <x v="0"/>
    <s v="USD"/>
    <n v="1381108918"/>
    <x v="836"/>
    <x v="0"/>
    <n v="46"/>
    <x v="0"/>
    <s v="music/rock"/>
    <n v="101"/>
    <n v="109.71"/>
    <x v="4"/>
    <x v="11"/>
    <x v="836"/>
    <d v="2013-10-07T01:21:58"/>
    <x v="1"/>
    <x v="4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x v="0"/>
    <n v="62"/>
    <x v="0"/>
    <s v="music/rock"/>
    <n v="122"/>
    <n v="49.11"/>
    <x v="4"/>
    <x v="11"/>
    <x v="837"/>
    <d v="2014-05-01T23:57:42"/>
    <x v="1"/>
    <x v="3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x v="0"/>
    <n v="61"/>
    <x v="0"/>
    <s v="music/rock"/>
    <n v="145"/>
    <n v="47.67"/>
    <x v="4"/>
    <x v="11"/>
    <x v="838"/>
    <d v="2012-01-17T21:33:05"/>
    <x v="1"/>
    <x v="6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x v="0"/>
    <n v="96"/>
    <x v="0"/>
    <s v="music/rock"/>
    <n v="117"/>
    <n v="60.74"/>
    <x v="4"/>
    <x v="11"/>
    <x v="839"/>
    <d v="2012-09-22T18:19:16"/>
    <x v="1"/>
    <x v="5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x v="0"/>
    <n v="190"/>
    <x v="0"/>
    <s v="music/metal"/>
    <n v="120"/>
    <n v="63.38"/>
    <x v="4"/>
    <x v="12"/>
    <x v="840"/>
    <d v="2016-09-24T05:26:27"/>
    <x v="1"/>
    <x v="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x v="1"/>
    <n v="94"/>
    <x v="0"/>
    <s v="music/metal"/>
    <n v="101"/>
    <n v="53.89"/>
    <x v="4"/>
    <x v="12"/>
    <x v="841"/>
    <d v="2014-11-10T21:07:43"/>
    <x v="1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x v="1"/>
    <n v="39"/>
    <x v="0"/>
    <s v="music/metal"/>
    <n v="104"/>
    <n v="66.87"/>
    <x v="4"/>
    <x v="12"/>
    <x v="842"/>
    <d v="2013-10-14T03:59:00"/>
    <x v="292"/>
    <x v="4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x v="0"/>
    <n v="127"/>
    <x v="0"/>
    <s v="music/metal"/>
    <n v="267"/>
    <n v="63.1"/>
    <x v="4"/>
    <x v="12"/>
    <x v="843"/>
    <d v="2016-12-08T08:00:00"/>
    <x v="293"/>
    <x v="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x v="1"/>
    <n v="159"/>
    <x v="0"/>
    <s v="music/metal"/>
    <n v="194"/>
    <n v="36.630000000000003"/>
    <x v="4"/>
    <x v="12"/>
    <x v="844"/>
    <d v="2014-11-01T04:59:00"/>
    <x v="294"/>
    <x v="3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x v="0"/>
    <n v="177"/>
    <x v="0"/>
    <s v="music/metal"/>
    <n v="120"/>
    <n v="34.01"/>
    <x v="4"/>
    <x v="12"/>
    <x v="845"/>
    <d v="2016-09-05T03:59:00"/>
    <x v="136"/>
    <x v="2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x v="0"/>
    <n v="47"/>
    <x v="0"/>
    <s v="music/metal"/>
    <n v="122"/>
    <n v="28.55"/>
    <x v="4"/>
    <x v="12"/>
    <x v="846"/>
    <d v="2014-03-10T14:00:00"/>
    <x v="295"/>
    <x v="3"/>
  </r>
  <r>
    <x v="847"/>
    <s v="CENTROPYMUSIC"/>
    <s v="MUSIC WITH MEANING!  MUSIC THAT MATTERS!!!"/>
    <x v="185"/>
    <x v="115"/>
    <x v="0"/>
    <x v="0"/>
    <s v="USD"/>
    <n v="1436555376"/>
    <x v="847"/>
    <x v="0"/>
    <n v="1"/>
    <x v="0"/>
    <s v="music/metal"/>
    <n v="100"/>
    <n v="10"/>
    <x v="4"/>
    <x v="12"/>
    <x v="847"/>
    <d v="2015-07-10T19:09:36"/>
    <x v="1"/>
    <x v="0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x v="0"/>
    <n v="16"/>
    <x v="0"/>
    <s v="music/metal"/>
    <n v="100"/>
    <n v="18.75"/>
    <x v="4"/>
    <x v="12"/>
    <x v="848"/>
    <d v="2015-04-14T19:00:33"/>
    <x v="1"/>
    <x v="0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x v="0"/>
    <n v="115"/>
    <x v="0"/>
    <s v="music/metal"/>
    <n v="120"/>
    <n v="41.7"/>
    <x v="4"/>
    <x v="12"/>
    <x v="849"/>
    <d v="2015-03-16T02:34:24"/>
    <x v="296"/>
    <x v="0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x v="0"/>
    <n v="133"/>
    <x v="0"/>
    <s v="music/metal"/>
    <n v="155"/>
    <n v="46.67"/>
    <x v="4"/>
    <x v="12"/>
    <x v="850"/>
    <d v="2016-04-25T04:59:00"/>
    <x v="297"/>
    <x v="2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x v="0"/>
    <n v="70"/>
    <x v="0"/>
    <s v="music/metal"/>
    <n v="130"/>
    <n v="37.270000000000003"/>
    <x v="4"/>
    <x v="12"/>
    <x v="851"/>
    <d v="2016-07-31T19:45:00"/>
    <x v="298"/>
    <x v="2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x v="0"/>
    <n v="62"/>
    <x v="0"/>
    <s v="music/metal"/>
    <n v="105"/>
    <n v="59.26"/>
    <x v="4"/>
    <x v="12"/>
    <x v="852"/>
    <d v="2016-10-24T21:00:00"/>
    <x v="299"/>
    <x v="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x v="0"/>
    <n v="10"/>
    <x v="0"/>
    <s v="music/metal"/>
    <n v="100"/>
    <n v="30"/>
    <x v="4"/>
    <x v="12"/>
    <x v="853"/>
    <d v="2015-02-16T19:58:29"/>
    <x v="1"/>
    <x v="0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x v="0"/>
    <n v="499"/>
    <x v="0"/>
    <s v="music/metal"/>
    <n v="118"/>
    <n v="65.86"/>
    <x v="4"/>
    <x v="12"/>
    <x v="854"/>
    <d v="2016-12-28T05:05:46"/>
    <x v="1"/>
    <x v="2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x v="0"/>
    <n v="47"/>
    <x v="0"/>
    <s v="music/metal"/>
    <n v="103"/>
    <n v="31.91"/>
    <x v="4"/>
    <x v="12"/>
    <x v="855"/>
    <d v="2016-07-24T03:00:17"/>
    <x v="1"/>
    <x v="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x v="0"/>
    <n v="28"/>
    <x v="0"/>
    <s v="music/metal"/>
    <n v="218"/>
    <n v="19.46"/>
    <x v="4"/>
    <x v="12"/>
    <x v="856"/>
    <d v="2016-10-25T19:00:00"/>
    <x v="300"/>
    <x v="2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x v="0"/>
    <n v="24"/>
    <x v="0"/>
    <s v="music/metal"/>
    <n v="100"/>
    <n v="50"/>
    <x v="4"/>
    <x v="12"/>
    <x v="857"/>
    <d v="2015-11-25T14:57:11"/>
    <x v="84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x v="0"/>
    <n v="76"/>
    <x v="0"/>
    <s v="music/metal"/>
    <n v="144"/>
    <n v="22.74"/>
    <x v="4"/>
    <x v="12"/>
    <x v="858"/>
    <d v="2015-04-15T22:59:00"/>
    <x v="25"/>
    <x v="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x v="0"/>
    <n v="98"/>
    <x v="0"/>
    <s v="music/metal"/>
    <n v="105"/>
    <n v="42.72"/>
    <x v="4"/>
    <x v="12"/>
    <x v="859"/>
    <d v="2015-06-04T00:00:00"/>
    <x v="301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x v="0"/>
    <n v="48"/>
    <x v="1"/>
    <s v="music/jazz"/>
    <n v="18"/>
    <n v="52.92"/>
    <x v="4"/>
    <x v="13"/>
    <x v="860"/>
    <d v="2013-11-22T12:35:13"/>
    <x v="13"/>
    <x v="4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x v="0"/>
    <n v="2"/>
    <x v="1"/>
    <s v="music/jazz"/>
    <n v="2"/>
    <n v="50.5"/>
    <x v="4"/>
    <x v="13"/>
    <x v="861"/>
    <d v="2016-09-16T23:10:04"/>
    <x v="1"/>
    <x v="2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x v="0"/>
    <n v="4"/>
    <x v="1"/>
    <s v="music/jazz"/>
    <n v="0"/>
    <n v="42.5"/>
    <x v="4"/>
    <x v="13"/>
    <x v="862"/>
    <d v="2013-11-11T14:19:08"/>
    <x v="13"/>
    <x v="4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x v="0"/>
    <n v="5"/>
    <x v="1"/>
    <s v="music/jazz"/>
    <n v="5"/>
    <n v="18"/>
    <x v="4"/>
    <x v="13"/>
    <x v="863"/>
    <d v="2012-02-12T02:49:26"/>
    <x v="1"/>
    <x v="5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x v="0"/>
    <n v="79"/>
    <x v="1"/>
    <s v="music/jazz"/>
    <n v="42"/>
    <n v="34.18"/>
    <x v="4"/>
    <x v="13"/>
    <x v="864"/>
    <d v="2013-10-16T09:59:00"/>
    <x v="302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x v="0"/>
    <n v="2"/>
    <x v="1"/>
    <s v="music/jazz"/>
    <n v="2"/>
    <n v="22.5"/>
    <x v="4"/>
    <x v="13"/>
    <x v="865"/>
    <d v="2013-01-16T18:33:17"/>
    <x v="14"/>
    <x v="5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x v="0"/>
    <n v="11"/>
    <x v="1"/>
    <s v="music/jazz"/>
    <n v="18"/>
    <n v="58.18"/>
    <x v="4"/>
    <x v="13"/>
    <x v="866"/>
    <d v="2015-02-28T15:10:00"/>
    <x v="303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x v="0"/>
    <n v="11"/>
    <x v="1"/>
    <s v="music/jazz"/>
    <n v="24"/>
    <n v="109.18"/>
    <x v="4"/>
    <x v="13"/>
    <x v="867"/>
    <d v="2009-12-01T04:59:00"/>
    <x v="304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x v="0"/>
    <n v="1"/>
    <x v="1"/>
    <s v="music/jazz"/>
    <n v="0"/>
    <n v="50"/>
    <x v="4"/>
    <x v="13"/>
    <x v="868"/>
    <d v="2014-01-07T00:39:58"/>
    <x v="1"/>
    <x v="4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x v="0"/>
    <n v="3"/>
    <x v="1"/>
    <s v="music/jazz"/>
    <n v="12"/>
    <n v="346.67"/>
    <x v="4"/>
    <x v="13"/>
    <x v="869"/>
    <d v="2013-04-08T19:17:37"/>
    <x v="22"/>
    <x v="4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x v="0"/>
    <n v="5"/>
    <x v="1"/>
    <s v="music/jazz"/>
    <n v="0"/>
    <n v="12.4"/>
    <x v="4"/>
    <x v="13"/>
    <x v="870"/>
    <d v="2013-09-01T00:32:03"/>
    <x v="1"/>
    <x v="4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x v="0"/>
    <n v="12"/>
    <x v="1"/>
    <s v="music/jazz"/>
    <n v="5"/>
    <n v="27.08"/>
    <x v="4"/>
    <x v="13"/>
    <x v="871"/>
    <d v="2013-11-29T14:28:15"/>
    <x v="13"/>
    <x v="4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x v="0"/>
    <n v="2"/>
    <x v="1"/>
    <s v="music/jazz"/>
    <n v="1"/>
    <n v="32.5"/>
    <x v="4"/>
    <x v="13"/>
    <x v="872"/>
    <d v="2011-03-10T19:48:47"/>
    <x v="26"/>
    <x v="6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x v="0"/>
    <n v="5"/>
    <x v="1"/>
    <s v="music/jazz"/>
    <n v="1"/>
    <n v="9"/>
    <x v="4"/>
    <x v="13"/>
    <x v="873"/>
    <d v="2012-11-11T05:00:40"/>
    <x v="182"/>
    <x v="5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x v="0"/>
    <n v="21"/>
    <x v="1"/>
    <s v="music/jazz"/>
    <n v="24"/>
    <n v="34.76"/>
    <x v="4"/>
    <x v="13"/>
    <x v="874"/>
    <d v="2013-05-04T14:00:34"/>
    <x v="1"/>
    <x v="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x v="0"/>
    <n v="0"/>
    <x v="1"/>
    <s v="music/jazz"/>
    <n v="0"/>
    <n v="0"/>
    <x v="4"/>
    <x v="13"/>
    <x v="875"/>
    <d v="2015-09-21T17:22:11"/>
    <x v="51"/>
    <x v="0"/>
  </r>
  <r>
    <x v="876"/>
    <s v="Sound Of Dobells"/>
    <s v="What was the greatest record shop ever?  DOBELLS!"/>
    <x v="189"/>
    <x v="656"/>
    <x v="2"/>
    <x v="1"/>
    <s v="GBP"/>
    <n v="1359978927"/>
    <x v="876"/>
    <x v="0"/>
    <n v="45"/>
    <x v="1"/>
    <s v="music/jazz"/>
    <n v="41"/>
    <n v="28.58"/>
    <x v="4"/>
    <x v="13"/>
    <x v="876"/>
    <d v="2013-02-04T11:55:27"/>
    <x v="17"/>
    <x v="4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x v="0"/>
    <n v="29"/>
    <x v="1"/>
    <s v="music/jazz"/>
    <n v="68"/>
    <n v="46.59"/>
    <x v="4"/>
    <x v="13"/>
    <x v="877"/>
    <d v="2013-12-19T18:56:00"/>
    <x v="1"/>
    <x v="4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x v="0"/>
    <n v="2"/>
    <x v="1"/>
    <s v="music/jazz"/>
    <n v="1"/>
    <n v="32.5"/>
    <x v="4"/>
    <x v="13"/>
    <x v="878"/>
    <d v="2010-12-23T05:35:24"/>
    <x v="1"/>
    <x v="7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x v="0"/>
    <n v="30"/>
    <x v="1"/>
    <s v="music/jazz"/>
    <n v="31"/>
    <n v="21.47"/>
    <x v="4"/>
    <x v="13"/>
    <x v="879"/>
    <d v="2012-05-29T19:55:05"/>
    <x v="31"/>
    <x v="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x v="0"/>
    <n v="8"/>
    <x v="1"/>
    <s v="music/indie rock"/>
    <n v="3"/>
    <n v="14.13"/>
    <x v="4"/>
    <x v="14"/>
    <x v="880"/>
    <d v="2012-10-30T07:42:18"/>
    <x v="17"/>
    <x v="5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x v="0"/>
    <n v="1"/>
    <x v="1"/>
    <s v="music/indie rock"/>
    <n v="1"/>
    <n v="30"/>
    <x v="4"/>
    <x v="14"/>
    <x v="881"/>
    <d v="2012-01-14T06:01:26"/>
    <x v="26"/>
    <x v="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x v="0"/>
    <n v="14"/>
    <x v="1"/>
    <s v="music/indie rock"/>
    <n v="20"/>
    <n v="21.57"/>
    <x v="4"/>
    <x v="14"/>
    <x v="882"/>
    <d v="2011-09-06T20:39:10"/>
    <x v="17"/>
    <x v="6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x v="0"/>
    <n v="24"/>
    <x v="1"/>
    <s v="music/indie rock"/>
    <n v="40"/>
    <n v="83.38"/>
    <x v="4"/>
    <x v="14"/>
    <x v="883"/>
    <d v="2016-03-02T22:27:15"/>
    <x v="14"/>
    <x v="2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x v="0"/>
    <n v="2"/>
    <x v="1"/>
    <s v="music/indie rock"/>
    <n v="1"/>
    <n v="10"/>
    <x v="4"/>
    <x v="14"/>
    <x v="884"/>
    <d v="2012-05-12T02:31:00"/>
    <x v="305"/>
    <x v="5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x v="0"/>
    <n v="21"/>
    <x v="1"/>
    <s v="music/indie rock"/>
    <n v="75"/>
    <n v="35.71"/>
    <x v="4"/>
    <x v="14"/>
    <x v="885"/>
    <d v="2016-12-30T22:35:11"/>
    <x v="31"/>
    <x v="2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x v="0"/>
    <n v="7"/>
    <x v="1"/>
    <s v="music/indie rock"/>
    <n v="41"/>
    <n v="29.29"/>
    <x v="4"/>
    <x v="14"/>
    <x v="886"/>
    <d v="2016-09-15T20:53:33"/>
    <x v="36"/>
    <x v="2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x v="0"/>
    <n v="0"/>
    <x v="1"/>
    <s v="music/indie rock"/>
    <n v="0"/>
    <n v="0"/>
    <x v="4"/>
    <x v="14"/>
    <x v="887"/>
    <d v="2012-05-27T23:00:55"/>
    <x v="1"/>
    <x v="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x v="0"/>
    <n v="4"/>
    <x v="1"/>
    <s v="music/indie rock"/>
    <n v="7"/>
    <n v="18"/>
    <x v="4"/>
    <x v="14"/>
    <x v="888"/>
    <d v="2011-09-01T06:00:00"/>
    <x v="306"/>
    <x v="6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x v="0"/>
    <n v="32"/>
    <x v="1"/>
    <s v="music/indie rock"/>
    <n v="9"/>
    <n v="73.760000000000005"/>
    <x v="4"/>
    <x v="14"/>
    <x v="889"/>
    <d v="2014-10-05T18:49:03"/>
    <x v="1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x v="0"/>
    <n v="4"/>
    <x v="1"/>
    <s v="music/indie rock"/>
    <n v="4"/>
    <n v="31.25"/>
    <x v="4"/>
    <x v="14"/>
    <x v="890"/>
    <d v="2013-11-21T17:46:19"/>
    <x v="13"/>
    <x v="4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x v="0"/>
    <n v="9"/>
    <x v="1"/>
    <s v="music/indie rock"/>
    <n v="3"/>
    <n v="28.89"/>
    <x v="4"/>
    <x v="14"/>
    <x v="891"/>
    <d v="2014-08-21T00:45:30"/>
    <x v="1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x v="0"/>
    <n v="17"/>
    <x v="1"/>
    <s v="music/indie rock"/>
    <n v="41"/>
    <n v="143.82"/>
    <x v="4"/>
    <x v="14"/>
    <x v="892"/>
    <d v="2010-08-01T04:00:00"/>
    <x v="307"/>
    <x v="7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x v="0"/>
    <n v="5"/>
    <x v="1"/>
    <s v="music/indie rock"/>
    <n v="10"/>
    <n v="40"/>
    <x v="4"/>
    <x v="14"/>
    <x v="893"/>
    <d v="2015-04-01T20:32:43"/>
    <x v="22"/>
    <x v="0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x v="0"/>
    <n v="53"/>
    <x v="1"/>
    <s v="music/indie rock"/>
    <n v="39"/>
    <n v="147.81"/>
    <x v="4"/>
    <x v="14"/>
    <x v="894"/>
    <d v="2016-06-05T23:33:30"/>
    <x v="1"/>
    <x v="2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x v="0"/>
    <n v="7"/>
    <x v="1"/>
    <s v="music/indie rock"/>
    <n v="2"/>
    <n v="27.86"/>
    <x v="4"/>
    <x v="14"/>
    <x v="895"/>
    <d v="2010-10-25T03:03:49"/>
    <x v="26"/>
    <x v="7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x v="0"/>
    <n v="72"/>
    <x v="1"/>
    <s v="music/indie rock"/>
    <n v="40"/>
    <n v="44.44"/>
    <x v="4"/>
    <x v="14"/>
    <x v="896"/>
    <d v="2015-08-28T04:00:00"/>
    <x v="308"/>
    <x v="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x v="0"/>
    <n v="0"/>
    <x v="1"/>
    <s v="music/indie rock"/>
    <n v="0"/>
    <n v="0"/>
    <x v="4"/>
    <x v="14"/>
    <x v="897"/>
    <d v="2012-11-28T17:31:48"/>
    <x v="13"/>
    <x v="5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x v="0"/>
    <n v="2"/>
    <x v="1"/>
    <s v="music/indie rock"/>
    <n v="3"/>
    <n v="35"/>
    <x v="4"/>
    <x v="14"/>
    <x v="898"/>
    <d v="2012-01-15T18:11:50"/>
    <x v="26"/>
    <x v="6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x v="0"/>
    <n v="8"/>
    <x v="1"/>
    <s v="music/indie rock"/>
    <n v="37"/>
    <n v="35"/>
    <x v="4"/>
    <x v="14"/>
    <x v="899"/>
    <d v="2011-05-28T02:22:42"/>
    <x v="26"/>
    <x v="6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x v="0"/>
    <n v="2"/>
    <x v="1"/>
    <s v="music/jazz"/>
    <n v="0"/>
    <n v="10.5"/>
    <x v="4"/>
    <x v="13"/>
    <x v="900"/>
    <d v="2016-03-30T19:23:22"/>
    <x v="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x v="0"/>
    <n v="0"/>
    <x v="1"/>
    <s v="music/jazz"/>
    <n v="0"/>
    <n v="0"/>
    <x v="4"/>
    <x v="13"/>
    <x v="901"/>
    <d v="2010-06-08T19:11:00"/>
    <x v="309"/>
    <x v="7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x v="0"/>
    <n v="3"/>
    <x v="1"/>
    <s v="music/jazz"/>
    <n v="0"/>
    <n v="30"/>
    <x v="4"/>
    <x v="13"/>
    <x v="902"/>
    <d v="2014-08-30T15:30:00"/>
    <x v="310"/>
    <x v="3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x v="0"/>
    <n v="4"/>
    <x v="1"/>
    <s v="music/jazz"/>
    <n v="3"/>
    <n v="40"/>
    <x v="4"/>
    <x v="13"/>
    <x v="903"/>
    <d v="2012-09-23T02:25:00"/>
    <x v="311"/>
    <x v="5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x v="0"/>
    <n v="3"/>
    <x v="1"/>
    <s v="music/jazz"/>
    <n v="0"/>
    <n v="50.33"/>
    <x v="4"/>
    <x v="13"/>
    <x v="904"/>
    <d v="2016-01-03T01:55:37"/>
    <x v="1"/>
    <x v="0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x v="0"/>
    <n v="6"/>
    <x v="1"/>
    <s v="music/jazz"/>
    <n v="3"/>
    <n v="32.67"/>
    <x v="4"/>
    <x v="13"/>
    <x v="905"/>
    <d v="2011-01-24T05:45:26"/>
    <x v="14"/>
    <x v="7"/>
  </r>
  <r>
    <x v="906"/>
    <s v="24th Music Presents Channeling Motown (Live)"/>
    <s v="The DMV's most respected saxophonist pay tribute to Motown."/>
    <x v="36"/>
    <x v="117"/>
    <x v="2"/>
    <x v="0"/>
    <s v="USD"/>
    <n v="1394681590"/>
    <x v="906"/>
    <x v="0"/>
    <n v="0"/>
    <x v="1"/>
    <s v="music/jazz"/>
    <n v="0"/>
    <n v="0"/>
    <x v="4"/>
    <x v="13"/>
    <x v="906"/>
    <d v="2014-03-13T03:33:10"/>
    <x v="22"/>
    <x v="3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x v="0"/>
    <n v="0"/>
    <x v="1"/>
    <s v="music/jazz"/>
    <n v="0"/>
    <n v="0"/>
    <x v="4"/>
    <x v="13"/>
    <x v="907"/>
    <d v="2011-09-11T04:37:03"/>
    <x v="1"/>
    <x v="6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x v="0"/>
    <n v="0"/>
    <x v="1"/>
    <s v="music/jazz"/>
    <n v="0"/>
    <n v="0"/>
    <x v="4"/>
    <x v="13"/>
    <x v="908"/>
    <d v="2010-07-27T04:59:00"/>
    <x v="312"/>
    <x v="7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x v="0"/>
    <n v="8"/>
    <x v="1"/>
    <s v="music/jazz"/>
    <n v="3"/>
    <n v="65"/>
    <x v="4"/>
    <x v="13"/>
    <x v="909"/>
    <d v="2012-07-23T04:00:00"/>
    <x v="313"/>
    <x v="5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x v="0"/>
    <n v="5"/>
    <x v="1"/>
    <s v="music/jazz"/>
    <n v="22"/>
    <n v="24.6"/>
    <x v="4"/>
    <x v="13"/>
    <x v="910"/>
    <d v="2017-03-03T13:05:19"/>
    <x v="14"/>
    <x v="1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x v="0"/>
    <n v="0"/>
    <x v="1"/>
    <s v="music/jazz"/>
    <n v="0"/>
    <n v="0"/>
    <x v="4"/>
    <x v="13"/>
    <x v="911"/>
    <d v="2014-01-24T00:07:25"/>
    <x v="31"/>
    <x v="3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x v="0"/>
    <n v="2"/>
    <x v="1"/>
    <s v="music/jazz"/>
    <n v="1"/>
    <n v="15"/>
    <x v="4"/>
    <x v="13"/>
    <x v="912"/>
    <d v="2012-12-11T03:37:27"/>
    <x v="27"/>
    <x v="5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x v="0"/>
    <n v="24"/>
    <x v="1"/>
    <s v="music/jazz"/>
    <n v="7"/>
    <n v="82.58"/>
    <x v="4"/>
    <x v="13"/>
    <x v="913"/>
    <d v="2012-05-05T03:20:19"/>
    <x v="1"/>
    <x v="5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x v="0"/>
    <n v="0"/>
    <x v="1"/>
    <s v="music/jazz"/>
    <n v="0"/>
    <n v="0"/>
    <x v="4"/>
    <x v="13"/>
    <x v="914"/>
    <d v="2012-08-25T18:19:07"/>
    <x v="1"/>
    <x v="5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x v="0"/>
    <n v="9"/>
    <x v="1"/>
    <s v="music/jazz"/>
    <n v="6"/>
    <n v="41.67"/>
    <x v="4"/>
    <x v="13"/>
    <x v="915"/>
    <d v="2012-03-01T04:59:00"/>
    <x v="314"/>
    <x v="5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x v="0"/>
    <n v="0"/>
    <x v="1"/>
    <s v="music/jazz"/>
    <n v="0"/>
    <n v="0"/>
    <x v="4"/>
    <x v="13"/>
    <x v="916"/>
    <d v="2010-10-22T05:00:00"/>
    <x v="315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x v="0"/>
    <n v="1"/>
    <x v="1"/>
    <s v="music/jazz"/>
    <n v="1"/>
    <n v="30"/>
    <x v="4"/>
    <x v="13"/>
    <x v="917"/>
    <d v="2014-07-14T02:30:00"/>
    <x v="316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x v="0"/>
    <n v="10"/>
    <x v="1"/>
    <s v="music/jazz"/>
    <n v="5"/>
    <n v="19.600000000000001"/>
    <x v="4"/>
    <x v="13"/>
    <x v="918"/>
    <d v="2014-12-01T22:59:21"/>
    <x v="13"/>
    <x v="3"/>
  </r>
  <r>
    <x v="919"/>
    <s v="Jazz CD:  Out of The Blue"/>
    <s v="Cool jazz with a New Orleans flavor."/>
    <x v="22"/>
    <x v="173"/>
    <x v="2"/>
    <x v="0"/>
    <s v="USD"/>
    <n v="1355930645"/>
    <x v="919"/>
    <x v="0"/>
    <n v="1"/>
    <x v="1"/>
    <s v="music/jazz"/>
    <n v="1"/>
    <n v="100"/>
    <x v="4"/>
    <x v="13"/>
    <x v="919"/>
    <d v="2012-12-19T15:24:05"/>
    <x v="6"/>
    <x v="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x v="0"/>
    <n v="0"/>
    <x v="1"/>
    <s v="music/jazz"/>
    <n v="0"/>
    <n v="0"/>
    <x v="4"/>
    <x v="13"/>
    <x v="920"/>
    <d v="2013-11-14T17:07:02"/>
    <x v="13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x v="0"/>
    <n v="20"/>
    <x v="1"/>
    <s v="music/jazz"/>
    <n v="31"/>
    <n v="231.75"/>
    <x v="4"/>
    <x v="13"/>
    <x v="921"/>
    <d v="2011-12-12T05:06:16"/>
    <x v="84"/>
    <x v="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x v="0"/>
    <n v="30"/>
    <x v="1"/>
    <s v="music/jazz"/>
    <n v="21"/>
    <n v="189.33"/>
    <x v="4"/>
    <x v="13"/>
    <x v="922"/>
    <d v="2014-10-01T12:43:13"/>
    <x v="6"/>
    <x v="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x v="0"/>
    <n v="6"/>
    <x v="1"/>
    <s v="music/jazz"/>
    <n v="2"/>
    <n v="55"/>
    <x v="4"/>
    <x v="13"/>
    <x v="923"/>
    <d v="2014-11-22T00:02:03"/>
    <x v="13"/>
    <x v="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x v="0"/>
    <n v="15"/>
    <x v="1"/>
    <s v="music/jazz"/>
    <n v="11"/>
    <n v="21.8"/>
    <x v="4"/>
    <x v="13"/>
    <x v="924"/>
    <d v="2013-02-13T22:37:49"/>
    <x v="1"/>
    <x v="4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x v="0"/>
    <n v="5"/>
    <x v="1"/>
    <s v="music/jazz"/>
    <n v="3"/>
    <n v="32"/>
    <x v="4"/>
    <x v="13"/>
    <x v="925"/>
    <d v="2013-11-27T22:08:31"/>
    <x v="13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x v="0"/>
    <n v="0"/>
    <x v="1"/>
    <s v="music/jazz"/>
    <n v="0"/>
    <n v="0"/>
    <x v="4"/>
    <x v="13"/>
    <x v="926"/>
    <d v="2010-07-08T22:40:00"/>
    <x v="72"/>
    <x v="7"/>
  </r>
  <r>
    <x v="927"/>
    <s v="JETRO DA SILVA FUNK PROJECT"/>
    <s v="Studio CD/DVD Solo project of Pianist &amp; Keyboardist Jetro da Silva"/>
    <x v="22"/>
    <x v="117"/>
    <x v="2"/>
    <x v="0"/>
    <s v="USD"/>
    <n v="1337024695"/>
    <x v="927"/>
    <x v="0"/>
    <n v="0"/>
    <x v="1"/>
    <s v="music/jazz"/>
    <n v="0"/>
    <n v="0"/>
    <x v="4"/>
    <x v="13"/>
    <x v="927"/>
    <d v="2012-05-14T19:44:55"/>
    <x v="1"/>
    <x v="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x v="0"/>
    <n v="28"/>
    <x v="1"/>
    <s v="music/jazz"/>
    <n v="11"/>
    <n v="56.25"/>
    <x v="4"/>
    <x v="13"/>
    <x v="928"/>
    <d v="2012-11-18T00:00:00"/>
    <x v="275"/>
    <x v="5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x v="0"/>
    <n v="0"/>
    <x v="1"/>
    <s v="music/jazz"/>
    <n v="0"/>
    <n v="0"/>
    <x v="4"/>
    <x v="13"/>
    <x v="929"/>
    <d v="2012-04-09T04:42:49"/>
    <x v="22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x v="0"/>
    <n v="5"/>
    <x v="1"/>
    <s v="music/jazz"/>
    <n v="38"/>
    <n v="69"/>
    <x v="4"/>
    <x v="13"/>
    <x v="930"/>
    <d v="2010-06-25T21:32:00"/>
    <x v="317"/>
    <x v="7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x v="0"/>
    <n v="7"/>
    <x v="1"/>
    <s v="music/jazz"/>
    <n v="7"/>
    <n v="18.71"/>
    <x v="4"/>
    <x v="13"/>
    <x v="931"/>
    <d v="2014-03-16T22:00:00"/>
    <x v="318"/>
    <x v="3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x v="932"/>
    <x v="0"/>
    <n v="30"/>
    <x v="1"/>
    <s v="music/jazz"/>
    <n v="15"/>
    <n v="46.03"/>
    <x v="4"/>
    <x v="13"/>
    <x v="932"/>
    <d v="2013-03-22T22:15:45"/>
    <x v="129"/>
    <x v="4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x v="0"/>
    <n v="2"/>
    <x v="1"/>
    <s v="music/jazz"/>
    <n v="6"/>
    <n v="60"/>
    <x v="4"/>
    <x v="13"/>
    <x v="933"/>
    <d v="2014-05-12T04:03:29"/>
    <x v="14"/>
    <x v="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x v="0"/>
    <n v="30"/>
    <x v="1"/>
    <s v="music/jazz"/>
    <n v="30"/>
    <n v="50.67"/>
    <x v="4"/>
    <x v="13"/>
    <x v="934"/>
    <d v="2014-05-04T06:00:00"/>
    <x v="319"/>
    <x v="3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x v="0"/>
    <n v="2"/>
    <x v="1"/>
    <s v="music/jazz"/>
    <n v="1"/>
    <n v="25"/>
    <x v="4"/>
    <x v="13"/>
    <x v="935"/>
    <d v="2016-01-29T08:00:29"/>
    <x v="1"/>
    <x v="0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x v="0"/>
    <n v="0"/>
    <x v="1"/>
    <s v="music/jazz"/>
    <n v="0"/>
    <n v="0"/>
    <x v="4"/>
    <x v="13"/>
    <x v="936"/>
    <d v="2012-01-18T20:00:00"/>
    <x v="320"/>
    <x v="6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x v="0"/>
    <n v="2"/>
    <x v="1"/>
    <s v="music/jazz"/>
    <n v="1"/>
    <n v="20"/>
    <x v="4"/>
    <x v="13"/>
    <x v="937"/>
    <d v="2013-11-03T20:09:17"/>
    <x v="13"/>
    <x v="4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x v="0"/>
    <n v="1"/>
    <x v="1"/>
    <s v="music/jazz"/>
    <n v="0"/>
    <n v="25"/>
    <x v="4"/>
    <x v="13"/>
    <x v="938"/>
    <d v="2012-09-02T11:30:48"/>
    <x v="1"/>
    <x v="5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x v="0"/>
    <n v="2"/>
    <x v="1"/>
    <s v="music/jazz"/>
    <n v="1"/>
    <n v="20"/>
    <x v="4"/>
    <x v="13"/>
    <x v="939"/>
    <d v="2013-06-30T19:58:00"/>
    <x v="321"/>
    <x v="4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x v="0"/>
    <n v="14"/>
    <x v="1"/>
    <s v="technology/wearables"/>
    <n v="17"/>
    <n v="110.29"/>
    <x v="2"/>
    <x v="8"/>
    <x v="940"/>
    <d v="2015-08-11T00:12:06"/>
    <x v="2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x v="0"/>
    <n v="31"/>
    <x v="1"/>
    <s v="technology/wearables"/>
    <n v="2"/>
    <n v="37.450000000000003"/>
    <x v="2"/>
    <x v="8"/>
    <x v="941"/>
    <d v="2017-02-10T02:19:05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x v="0"/>
    <n v="16"/>
    <x v="1"/>
    <s v="technology/wearables"/>
    <n v="9"/>
    <n v="41.75"/>
    <x v="2"/>
    <x v="8"/>
    <x v="942"/>
    <d v="2016-02-18T20:14:20"/>
    <x v="232"/>
    <x v="2"/>
  </r>
  <r>
    <x v="943"/>
    <s v="SleepMode"/>
    <s v="A mask for home or travel that will give you the best, undisturbed sleep of your life."/>
    <x v="9"/>
    <x v="683"/>
    <x v="2"/>
    <x v="0"/>
    <s v="USD"/>
    <n v="1480438905"/>
    <x v="943"/>
    <x v="0"/>
    <n v="12"/>
    <x v="1"/>
    <s v="technology/wearables"/>
    <n v="10"/>
    <n v="24.08"/>
    <x v="2"/>
    <x v="8"/>
    <x v="943"/>
    <d v="2016-11-29T17:01:45"/>
    <x v="13"/>
    <x v="2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x v="0"/>
    <n v="96"/>
    <x v="1"/>
    <s v="technology/wearables"/>
    <n v="13"/>
    <n v="69.41"/>
    <x v="2"/>
    <x v="8"/>
    <x v="944"/>
    <d v="2016-04-18T14:00:00"/>
    <x v="322"/>
    <x v="2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x v="0"/>
    <n v="16"/>
    <x v="1"/>
    <s v="technology/wearables"/>
    <n v="2"/>
    <n v="155.25"/>
    <x v="2"/>
    <x v="8"/>
    <x v="945"/>
    <d v="2017-02-18T23:59:00"/>
    <x v="323"/>
    <x v="2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x v="946"/>
    <x v="0"/>
    <n v="5"/>
    <x v="1"/>
    <s v="technology/wearables"/>
    <n v="2"/>
    <n v="57.2"/>
    <x v="2"/>
    <x v="8"/>
    <x v="946"/>
    <d v="2016-09-09T18:00:48"/>
    <x v="1"/>
    <x v="2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x v="0"/>
    <n v="0"/>
    <x v="1"/>
    <s v="technology/wearables"/>
    <n v="0"/>
    <n v="0"/>
    <x v="2"/>
    <x v="8"/>
    <x v="947"/>
    <d v="2016-06-30T18:45:06"/>
    <x v="14"/>
    <x v="2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x v="0"/>
    <n v="8"/>
    <x v="1"/>
    <s v="technology/wearables"/>
    <n v="12"/>
    <n v="60"/>
    <x v="2"/>
    <x v="8"/>
    <x v="948"/>
    <d v="2016-03-12T19:52:44"/>
    <x v="1"/>
    <x v="2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x v="0"/>
    <n v="7"/>
    <x v="1"/>
    <s v="technology/wearables"/>
    <n v="1"/>
    <n v="39"/>
    <x v="2"/>
    <x v="8"/>
    <x v="949"/>
    <d v="2016-02-21T01:02:56"/>
    <x v="14"/>
    <x v="0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x v="0"/>
    <n v="24"/>
    <x v="1"/>
    <s v="technology/wearables"/>
    <n v="28"/>
    <n v="58.42"/>
    <x v="2"/>
    <x v="8"/>
    <x v="950"/>
    <d v="2016-01-17T18:01:01"/>
    <x v="1"/>
    <x v="0"/>
  </r>
  <r>
    <x v="951"/>
    <s v="Smart Harness"/>
    <s v="Revolutionizing the way we walk our dogs!"/>
    <x v="63"/>
    <x v="689"/>
    <x v="2"/>
    <x v="0"/>
    <s v="USD"/>
    <n v="1465054872"/>
    <x v="951"/>
    <x v="0"/>
    <n v="121"/>
    <x v="1"/>
    <s v="technology/wearables"/>
    <n v="38"/>
    <n v="158.63999999999999"/>
    <x v="2"/>
    <x v="8"/>
    <x v="951"/>
    <d v="2016-06-04T15:41:12"/>
    <x v="26"/>
    <x v="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x v="952"/>
    <x v="0"/>
    <n v="196"/>
    <x v="1"/>
    <s v="technology/wearables"/>
    <n v="40"/>
    <n v="99.86"/>
    <x v="2"/>
    <x v="8"/>
    <x v="952"/>
    <d v="2016-11-18T15:43:32"/>
    <x v="13"/>
    <x v="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x v="0"/>
    <n v="5"/>
    <x v="1"/>
    <s v="technology/wearables"/>
    <n v="1"/>
    <n v="25.2"/>
    <x v="2"/>
    <x v="8"/>
    <x v="953"/>
    <d v="2015-01-25T03:56:39"/>
    <x v="1"/>
    <x v="3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x v="0"/>
    <n v="73"/>
    <x v="1"/>
    <s v="technology/wearables"/>
    <n v="43"/>
    <n v="89.19"/>
    <x v="2"/>
    <x v="8"/>
    <x v="954"/>
    <d v="2015-08-20T20:00:39"/>
    <x v="202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x v="0"/>
    <n v="93"/>
    <x v="1"/>
    <s v="technology/wearables"/>
    <n v="6"/>
    <n v="182.62"/>
    <x v="2"/>
    <x v="8"/>
    <x v="955"/>
    <d v="2016-09-13T07:05:00"/>
    <x v="4"/>
    <x v="2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x v="0"/>
    <n v="17"/>
    <x v="1"/>
    <s v="technology/wearables"/>
    <n v="2"/>
    <n v="50.65"/>
    <x v="2"/>
    <x v="8"/>
    <x v="956"/>
    <d v="2015-04-26T20:55:59"/>
    <x v="80"/>
    <x v="0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x v="957"/>
    <x v="0"/>
    <n v="7"/>
    <x v="1"/>
    <s v="technology/wearables"/>
    <n v="2"/>
    <n v="33.29"/>
    <x v="2"/>
    <x v="8"/>
    <x v="957"/>
    <d v="2016-11-17T14:15:33"/>
    <x v="160"/>
    <x v="2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x v="0"/>
    <n v="17"/>
    <x v="1"/>
    <s v="technology/wearables"/>
    <n v="11"/>
    <n v="51.82"/>
    <x v="2"/>
    <x v="8"/>
    <x v="958"/>
    <d v="2015-04-10T04:59:00"/>
    <x v="324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x v="0"/>
    <n v="171"/>
    <x v="1"/>
    <s v="technology/wearables"/>
    <n v="39"/>
    <n v="113.63"/>
    <x v="2"/>
    <x v="8"/>
    <x v="959"/>
    <d v="2015-01-19T04:11:05"/>
    <x v="1"/>
    <x v="3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x v="0"/>
    <n v="188"/>
    <x v="1"/>
    <s v="technology/wearables"/>
    <n v="46"/>
    <n v="136.46"/>
    <x v="2"/>
    <x v="8"/>
    <x v="960"/>
    <d v="2017-03-14T14:02:35"/>
    <x v="325"/>
    <x v="1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x v="0"/>
    <n v="110"/>
    <x v="1"/>
    <s v="technology/wearables"/>
    <n v="42"/>
    <n v="364.35"/>
    <x v="2"/>
    <x v="8"/>
    <x v="961"/>
    <d v="2017-02-20T19:00:00"/>
    <x v="326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x v="0"/>
    <n v="37"/>
    <x v="1"/>
    <s v="technology/wearables"/>
    <n v="28"/>
    <n v="19.239999999999998"/>
    <x v="2"/>
    <x v="8"/>
    <x v="962"/>
    <d v="2016-02-11T17:05:53"/>
    <x v="327"/>
    <x v="2"/>
  </r>
  <r>
    <x v="963"/>
    <s v="The Ultimate Learning Center"/>
    <s v="WE are molding an educated, motivated, non violent GENERATION!"/>
    <x v="19"/>
    <x v="700"/>
    <x v="2"/>
    <x v="0"/>
    <s v="USD"/>
    <n v="1476717319"/>
    <x v="963"/>
    <x v="0"/>
    <n v="9"/>
    <x v="1"/>
    <s v="technology/wearables"/>
    <n v="1"/>
    <n v="41.89"/>
    <x v="2"/>
    <x v="8"/>
    <x v="963"/>
    <d v="2016-10-17T15:15:19"/>
    <x v="6"/>
    <x v="2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x v="0"/>
    <n v="29"/>
    <x v="1"/>
    <s v="technology/wearables"/>
    <n v="1"/>
    <n v="30.31"/>
    <x v="2"/>
    <x v="8"/>
    <x v="964"/>
    <d v="2015-09-01T15:05:19"/>
    <x v="4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x v="0"/>
    <n v="6"/>
    <x v="1"/>
    <s v="technology/wearables"/>
    <n v="1"/>
    <n v="49.67"/>
    <x v="2"/>
    <x v="8"/>
    <x v="965"/>
    <d v="2016-10-26T03:59:00"/>
    <x v="328"/>
    <x v="2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x v="0"/>
    <n v="30"/>
    <x v="1"/>
    <s v="technology/wearables"/>
    <n v="15"/>
    <n v="59.2"/>
    <x v="2"/>
    <x v="8"/>
    <x v="966"/>
    <d v="2016-10-06T15:15:32"/>
    <x v="1"/>
    <x v="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x v="967"/>
    <x v="0"/>
    <n v="81"/>
    <x v="1"/>
    <s v="technology/wearables"/>
    <n v="18"/>
    <n v="43.98"/>
    <x v="2"/>
    <x v="8"/>
    <x v="967"/>
    <d v="2016-04-22T05:06:14"/>
    <x v="80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x v="0"/>
    <n v="4"/>
    <x v="1"/>
    <s v="technology/wearables"/>
    <n v="1"/>
    <n v="26.5"/>
    <x v="2"/>
    <x v="8"/>
    <x v="968"/>
    <d v="2014-08-15T20:20:34"/>
    <x v="1"/>
    <x v="3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x v="969"/>
    <x v="0"/>
    <n v="11"/>
    <x v="1"/>
    <s v="technology/wearables"/>
    <n v="47"/>
    <n v="1272.73"/>
    <x v="2"/>
    <x v="8"/>
    <x v="969"/>
    <d v="2017-02-09T07:16:47"/>
    <x v="17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x v="0"/>
    <n v="14"/>
    <x v="1"/>
    <s v="technology/wearables"/>
    <n v="46"/>
    <n v="164"/>
    <x v="2"/>
    <x v="8"/>
    <x v="970"/>
    <d v="2017-01-23T04:59:00"/>
    <x v="329"/>
    <x v="2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x v="0"/>
    <n v="5"/>
    <x v="1"/>
    <s v="technology/wearables"/>
    <n v="0"/>
    <n v="45.2"/>
    <x v="2"/>
    <x v="8"/>
    <x v="971"/>
    <d v="2015-06-01T17:01:00"/>
    <x v="26"/>
    <x v="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x v="0"/>
    <n v="45"/>
    <x v="1"/>
    <s v="technology/wearables"/>
    <n v="35"/>
    <n v="153.88999999999999"/>
    <x v="2"/>
    <x v="8"/>
    <x v="972"/>
    <d v="2014-09-04T06:59:00"/>
    <x v="330"/>
    <x v="3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x v="0"/>
    <n v="8"/>
    <x v="1"/>
    <s v="technology/wearables"/>
    <n v="2"/>
    <n v="51.38"/>
    <x v="2"/>
    <x v="8"/>
    <x v="973"/>
    <d v="2015-11-09T01:21:33"/>
    <x v="27"/>
    <x v="0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x v="0"/>
    <n v="3"/>
    <x v="1"/>
    <s v="technology/wearables"/>
    <n v="1"/>
    <n v="93.33"/>
    <x v="2"/>
    <x v="8"/>
    <x v="974"/>
    <d v="2016-03-25T16:59:16"/>
    <x v="22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x v="0"/>
    <n v="24"/>
    <x v="1"/>
    <s v="technology/wearables"/>
    <n v="3"/>
    <n v="108.63"/>
    <x v="2"/>
    <x v="8"/>
    <x v="975"/>
    <d v="2016-06-28T16:43:05"/>
    <x v="14"/>
    <x v="2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x v="0"/>
    <n v="18"/>
    <x v="1"/>
    <s v="technology/wearables"/>
    <n v="2"/>
    <n v="160.5"/>
    <x v="2"/>
    <x v="8"/>
    <x v="976"/>
    <d v="2015-08-14T01:24:57"/>
    <x v="26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x v="0"/>
    <n v="12"/>
    <x v="1"/>
    <s v="technology/wearables"/>
    <n v="34"/>
    <n v="75.75"/>
    <x v="2"/>
    <x v="8"/>
    <x v="977"/>
    <d v="2016-02-21T22:36:37"/>
    <x v="1"/>
    <x v="2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x v="0"/>
    <n v="123"/>
    <x v="1"/>
    <s v="technology/wearables"/>
    <n v="56"/>
    <n v="790.84"/>
    <x v="2"/>
    <x v="8"/>
    <x v="978"/>
    <d v="2016-02-25T07:25:01"/>
    <x v="1"/>
    <x v="2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x v="0"/>
    <n v="96"/>
    <x v="1"/>
    <s v="technology/wearables"/>
    <n v="83"/>
    <n v="301.94"/>
    <x v="2"/>
    <x v="8"/>
    <x v="979"/>
    <d v="2016-06-20T18:59:00"/>
    <x v="331"/>
    <x v="2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x v="0"/>
    <n v="31"/>
    <x v="1"/>
    <s v="technology/wearables"/>
    <n v="15"/>
    <n v="47.94"/>
    <x v="2"/>
    <x v="8"/>
    <x v="980"/>
    <d v="2014-11-30T22:42:02"/>
    <x v="71"/>
    <x v="3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x v="0"/>
    <n v="4"/>
    <x v="1"/>
    <s v="technology/wearables"/>
    <n v="0"/>
    <n v="2.75"/>
    <x v="2"/>
    <x v="8"/>
    <x v="981"/>
    <d v="2014-08-09T22:43:42"/>
    <x v="1"/>
    <x v="3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x v="0"/>
    <n v="3"/>
    <x v="1"/>
    <s v="technology/wearables"/>
    <n v="0"/>
    <n v="1"/>
    <x v="2"/>
    <x v="8"/>
    <x v="982"/>
    <d v="2016-10-02T18:04:46"/>
    <x v="1"/>
    <x v="2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x v="0"/>
    <n v="179"/>
    <x v="1"/>
    <s v="technology/wearables"/>
    <n v="30"/>
    <n v="171.79"/>
    <x v="2"/>
    <x v="8"/>
    <x v="983"/>
    <d v="2016-08-23T20:54:00"/>
    <x v="332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x v="0"/>
    <n v="3"/>
    <x v="1"/>
    <s v="technology/wearables"/>
    <n v="1"/>
    <n v="35.33"/>
    <x v="2"/>
    <x v="8"/>
    <x v="984"/>
    <d v="2015-03-28T01:46:48"/>
    <x v="22"/>
    <x v="0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x v="0"/>
    <n v="23"/>
    <x v="1"/>
    <s v="technology/wearables"/>
    <n v="6"/>
    <n v="82.09"/>
    <x v="2"/>
    <x v="8"/>
    <x v="985"/>
    <d v="2015-12-31T23:00:00"/>
    <x v="99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x v="0"/>
    <n v="23"/>
    <x v="1"/>
    <s v="technology/wearables"/>
    <n v="13"/>
    <n v="110.87"/>
    <x v="2"/>
    <x v="8"/>
    <x v="986"/>
    <d v="2016-01-10T00:00:00"/>
    <x v="333"/>
    <x v="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x v="0"/>
    <n v="41"/>
    <x v="1"/>
    <s v="technology/wearables"/>
    <n v="13"/>
    <n v="161.22"/>
    <x v="2"/>
    <x v="8"/>
    <x v="987"/>
    <d v="2014-06-23T07:04:10"/>
    <x v="4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x v="0"/>
    <n v="0"/>
    <x v="1"/>
    <s v="technology/wearables"/>
    <n v="0"/>
    <n v="0"/>
    <x v="2"/>
    <x v="8"/>
    <x v="988"/>
    <d v="2016-10-01T08:33:45"/>
    <x v="1"/>
    <x v="2"/>
  </r>
  <r>
    <x v="989"/>
    <s v="Power Rope"/>
    <s v="The most useful phone charger you will ever buy"/>
    <x v="3"/>
    <x v="718"/>
    <x v="2"/>
    <x v="0"/>
    <s v="USD"/>
    <n v="1475101495"/>
    <x v="989"/>
    <x v="0"/>
    <n v="32"/>
    <x v="1"/>
    <s v="technology/wearables"/>
    <n v="17"/>
    <n v="52.41"/>
    <x v="2"/>
    <x v="8"/>
    <x v="989"/>
    <d v="2016-09-28T22:24:55"/>
    <x v="1"/>
    <x v="2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x v="0"/>
    <n v="2"/>
    <x v="1"/>
    <s v="technology/wearables"/>
    <n v="0"/>
    <n v="13"/>
    <x v="2"/>
    <x v="8"/>
    <x v="990"/>
    <d v="2014-09-03T18:49:24"/>
    <x v="1"/>
    <x v="3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x v="0"/>
    <n v="7"/>
    <x v="1"/>
    <s v="technology/wearables"/>
    <n v="4"/>
    <n v="30.29"/>
    <x v="2"/>
    <x v="8"/>
    <x v="991"/>
    <d v="2016-07-12T18:51:00"/>
    <x v="334"/>
    <x v="2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x v="992"/>
    <x v="0"/>
    <n v="4"/>
    <x v="1"/>
    <s v="technology/wearables"/>
    <n v="0"/>
    <n v="116.75"/>
    <x v="2"/>
    <x v="8"/>
    <x v="992"/>
    <d v="2016-05-07T21:11:59"/>
    <x v="80"/>
    <x v="2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x v="0"/>
    <n v="196"/>
    <x v="1"/>
    <s v="technology/wearables"/>
    <n v="25"/>
    <n v="89.6"/>
    <x v="2"/>
    <x v="8"/>
    <x v="993"/>
    <d v="2016-11-12T05:00:00"/>
    <x v="335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x v="0"/>
    <n v="11"/>
    <x v="1"/>
    <s v="technology/wearables"/>
    <n v="2"/>
    <n v="424.45"/>
    <x v="2"/>
    <x v="8"/>
    <x v="994"/>
    <d v="2014-11-30T22:59:00"/>
    <x v="336"/>
    <x v="3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x v="0"/>
    <n v="9"/>
    <x v="1"/>
    <s v="technology/wearables"/>
    <n v="7"/>
    <n v="80.67"/>
    <x v="2"/>
    <x v="8"/>
    <x v="995"/>
    <d v="2014-11-29T16:00:00"/>
    <x v="337"/>
    <x v="3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x v="0"/>
    <n v="5"/>
    <x v="1"/>
    <s v="technology/wearables"/>
    <n v="2"/>
    <n v="13"/>
    <x v="2"/>
    <x v="8"/>
    <x v="996"/>
    <d v="2014-07-27T15:27:00"/>
    <x v="338"/>
    <x v="3"/>
  </r>
  <r>
    <x v="997"/>
    <s v="iPhanny"/>
    <s v="The iPhanny keeps your iPhone 6 safe from bending in those dangerous pants pockets."/>
    <x v="10"/>
    <x v="654"/>
    <x v="2"/>
    <x v="0"/>
    <s v="USD"/>
    <n v="1417145297"/>
    <x v="997"/>
    <x v="0"/>
    <n v="8"/>
    <x v="1"/>
    <s v="technology/wearables"/>
    <n v="1"/>
    <n v="8.1300000000000008"/>
    <x v="2"/>
    <x v="8"/>
    <x v="997"/>
    <d v="2014-11-28T03:28:17"/>
    <x v="13"/>
    <x v="3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x v="0"/>
    <n v="229"/>
    <x v="1"/>
    <s v="technology/wearables"/>
    <n v="59"/>
    <n v="153.43"/>
    <x v="2"/>
    <x v="8"/>
    <x v="998"/>
    <d v="2015-11-19T05:03:21"/>
    <x v="71"/>
    <x v="0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x v="0"/>
    <n v="40"/>
    <x v="1"/>
    <s v="technology/wearables"/>
    <n v="8"/>
    <n v="292.08"/>
    <x v="2"/>
    <x v="8"/>
    <x v="999"/>
    <d v="2014-11-13T08:02:00"/>
    <x v="13"/>
    <x v="3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x v="0"/>
    <n v="6"/>
    <x v="1"/>
    <s v="technology/wearables"/>
    <n v="2"/>
    <n v="3304"/>
    <x v="2"/>
    <x v="8"/>
    <x v="1000"/>
    <d v="2017-03-15T00:26:00"/>
    <x v="8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x v="0"/>
    <n v="4"/>
    <x v="1"/>
    <s v="technology/wearables"/>
    <n v="104"/>
    <n v="1300"/>
    <x v="2"/>
    <x v="8"/>
    <x v="1001"/>
    <d v="2017-01-30T17:16:53"/>
    <x v="26"/>
    <x v="2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x v="0"/>
    <n v="22"/>
    <x v="1"/>
    <s v="technology/wearables"/>
    <n v="30"/>
    <n v="134.55000000000001"/>
    <x v="2"/>
    <x v="8"/>
    <x v="1002"/>
    <d v="2015-12-17T05:59:00"/>
    <x v="339"/>
    <x v="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x v="0"/>
    <n v="15"/>
    <x v="1"/>
    <s v="technology/wearables"/>
    <n v="16"/>
    <n v="214.07"/>
    <x v="2"/>
    <x v="8"/>
    <x v="1003"/>
    <d v="2017-03-16T16:01:01"/>
    <x v="22"/>
    <x v="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x v="0"/>
    <n v="95"/>
    <x v="1"/>
    <s v="technology/wearables"/>
    <n v="82"/>
    <n v="216.34"/>
    <x v="2"/>
    <x v="8"/>
    <x v="1004"/>
    <d v="2016-02-18T17:00:27"/>
    <x v="1"/>
    <x v="2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x v="0"/>
    <n v="161"/>
    <x v="1"/>
    <s v="technology/wearables"/>
    <n v="75"/>
    <n v="932.31"/>
    <x v="2"/>
    <x v="8"/>
    <x v="1005"/>
    <d v="2015-10-30T14:59:43"/>
    <x v="102"/>
    <x v="0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x v="0"/>
    <n v="8"/>
    <x v="1"/>
    <s v="technology/wearables"/>
    <n v="6"/>
    <n v="29.25"/>
    <x v="2"/>
    <x v="8"/>
    <x v="1006"/>
    <d v="2014-12-12T07:11:00"/>
    <x v="340"/>
    <x v="3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x v="0"/>
    <n v="76"/>
    <x v="1"/>
    <s v="technology/wearables"/>
    <n v="44"/>
    <n v="174.95"/>
    <x v="2"/>
    <x v="8"/>
    <x v="1007"/>
    <d v="2016-12-14T15:00:23"/>
    <x v="84"/>
    <x v="2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x v="0"/>
    <n v="1"/>
    <x v="1"/>
    <s v="technology/wearables"/>
    <n v="0"/>
    <n v="250"/>
    <x v="2"/>
    <x v="8"/>
    <x v="1008"/>
    <d v="2016-12-28T19:25:15"/>
    <x v="1"/>
    <x v="2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x v="0"/>
    <n v="101"/>
    <x v="1"/>
    <s v="technology/wearables"/>
    <n v="13"/>
    <n v="65"/>
    <x v="2"/>
    <x v="8"/>
    <x v="1009"/>
    <d v="2016-06-19T14:30:46"/>
    <x v="1"/>
    <x v="2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x v="0"/>
    <n v="4"/>
    <x v="1"/>
    <s v="technology/wearables"/>
    <n v="0"/>
    <n v="55"/>
    <x v="2"/>
    <x v="8"/>
    <x v="1010"/>
    <d v="2016-09-05T02:59:00"/>
    <x v="155"/>
    <x v="2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x v="0"/>
    <n v="1"/>
    <x v="1"/>
    <s v="technology/wearables"/>
    <n v="0"/>
    <n v="75"/>
    <x v="2"/>
    <x v="8"/>
    <x v="1011"/>
    <d v="2014-12-18T21:33:15"/>
    <x v="26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x v="0"/>
    <n v="775"/>
    <x v="1"/>
    <s v="technology/wearables"/>
    <n v="21535"/>
    <n v="1389.36"/>
    <x v="2"/>
    <x v="8"/>
    <x v="1012"/>
    <d v="2017-01-24T10:34:12"/>
    <x v="26"/>
    <x v="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x v="0"/>
    <n v="90"/>
    <x v="1"/>
    <s v="technology/wearables"/>
    <n v="35"/>
    <n v="95.91"/>
    <x v="2"/>
    <x v="8"/>
    <x v="1013"/>
    <d v="2015-12-29T20:00:00"/>
    <x v="240"/>
    <x v="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x v="0"/>
    <n v="16"/>
    <x v="1"/>
    <s v="technology/wearables"/>
    <n v="31"/>
    <n v="191.25"/>
    <x v="2"/>
    <x v="8"/>
    <x v="1014"/>
    <d v="2015-01-01T00:03:35"/>
    <x v="76"/>
    <x v="3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x v="0"/>
    <n v="6"/>
    <x v="1"/>
    <s v="technology/wearables"/>
    <n v="3"/>
    <n v="40"/>
    <x v="2"/>
    <x v="8"/>
    <x v="1015"/>
    <d v="2015-11-25T22:04:55"/>
    <x v="13"/>
    <x v="0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x v="0"/>
    <n v="38"/>
    <x v="1"/>
    <s v="technology/wearables"/>
    <n v="3"/>
    <n v="74.790000000000006"/>
    <x v="2"/>
    <x v="8"/>
    <x v="1016"/>
    <d v="2016-04-07T01:34:16"/>
    <x v="129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x v="0"/>
    <n v="355"/>
    <x v="1"/>
    <s v="technology/wearables"/>
    <n v="23"/>
    <n v="161.12"/>
    <x v="2"/>
    <x v="8"/>
    <x v="1017"/>
    <d v="2015-11-21T17:12:15"/>
    <x v="182"/>
    <x v="0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x v="0"/>
    <n v="7"/>
    <x v="1"/>
    <s v="technology/wearables"/>
    <n v="3"/>
    <n v="88.71"/>
    <x v="2"/>
    <x v="8"/>
    <x v="1018"/>
    <d v="2016-07-14T11:48:53"/>
    <x v="1"/>
    <x v="2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x v="0"/>
    <n v="400"/>
    <x v="1"/>
    <s v="technology/wearables"/>
    <n v="47"/>
    <n v="53.25"/>
    <x v="2"/>
    <x v="8"/>
    <x v="1019"/>
    <d v="2015-02-04T23:22:29"/>
    <x v="1"/>
    <x v="0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x v="0"/>
    <n v="30"/>
    <x v="0"/>
    <s v="music/electronic music"/>
    <n v="206"/>
    <n v="106.2"/>
    <x v="4"/>
    <x v="15"/>
    <x v="1020"/>
    <d v="2015-06-02T00:47:00"/>
    <x v="22"/>
    <x v="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x v="1"/>
    <n v="478"/>
    <x v="0"/>
    <s v="music/electronic music"/>
    <n v="352"/>
    <n v="22.08"/>
    <x v="4"/>
    <x v="15"/>
    <x v="1021"/>
    <d v="2015-10-17T04:00:00"/>
    <x v="341"/>
    <x v="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x v="1022"/>
    <x v="1"/>
    <n v="74"/>
    <x v="0"/>
    <s v="music/electronic music"/>
    <n v="115"/>
    <n v="31.05"/>
    <x v="4"/>
    <x v="15"/>
    <x v="1022"/>
    <d v="2015-05-17T15:31:17"/>
    <x v="1"/>
    <x v="0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x v="0"/>
    <n v="131"/>
    <x v="0"/>
    <s v="music/electronic music"/>
    <n v="237"/>
    <n v="36.21"/>
    <x v="4"/>
    <x v="15"/>
    <x v="1023"/>
    <d v="2015-06-20T22:04:21"/>
    <x v="1"/>
    <x v="0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x v="1"/>
    <n v="61"/>
    <x v="0"/>
    <s v="music/electronic music"/>
    <n v="119"/>
    <n v="388.98"/>
    <x v="4"/>
    <x v="15"/>
    <x v="1024"/>
    <d v="2016-01-31T13:56:03"/>
    <x v="1"/>
    <x v="2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x v="1025"/>
    <x v="1"/>
    <n v="1071"/>
    <x v="0"/>
    <s v="music/electronic music"/>
    <n v="110"/>
    <n v="71.849999999999994"/>
    <x v="4"/>
    <x v="15"/>
    <x v="1025"/>
    <d v="2015-03-16T19:00:37"/>
    <x v="22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x v="1"/>
    <n v="122"/>
    <x v="0"/>
    <s v="music/electronic music"/>
    <n v="100"/>
    <n v="57.38"/>
    <x v="4"/>
    <x v="15"/>
    <x v="1026"/>
    <d v="2016-03-31T08:46:56"/>
    <x v="342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x v="1"/>
    <n v="111"/>
    <x v="0"/>
    <s v="music/electronic music"/>
    <n v="103"/>
    <n v="69.67"/>
    <x v="4"/>
    <x v="15"/>
    <x v="1027"/>
    <d v="2014-10-23T00:49:07"/>
    <x v="1"/>
    <x v="3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x v="1"/>
    <n v="255"/>
    <x v="0"/>
    <s v="music/electronic music"/>
    <n v="117"/>
    <n v="45.99"/>
    <x v="4"/>
    <x v="15"/>
    <x v="1028"/>
    <d v="2017-03-06T20:00:00"/>
    <x v="343"/>
    <x v="1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x v="0"/>
    <n v="141"/>
    <x v="0"/>
    <s v="music/electronic music"/>
    <n v="112"/>
    <n v="79.260000000000005"/>
    <x v="4"/>
    <x v="15"/>
    <x v="1029"/>
    <d v="2015-04-04T21:59:00"/>
    <x v="344"/>
    <x v="0"/>
  </r>
  <r>
    <x v="1030"/>
    <s v="The Gothsicles - I FEEL SICLE"/>
    <s v="Help fund the latest Gothsicles mega-album, I FEEL SICLE!"/>
    <x v="13"/>
    <x v="754"/>
    <x v="0"/>
    <x v="0"/>
    <s v="USD"/>
    <n v="1473680149"/>
    <x v="1030"/>
    <x v="0"/>
    <n v="159"/>
    <x v="0"/>
    <s v="music/electronic music"/>
    <n v="342"/>
    <n v="43.03"/>
    <x v="4"/>
    <x v="15"/>
    <x v="1030"/>
    <d v="2016-09-12T11:35:49"/>
    <x v="59"/>
    <x v="2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x v="0"/>
    <n v="99"/>
    <x v="0"/>
    <s v="music/electronic music"/>
    <n v="107"/>
    <n v="108.48"/>
    <x v="4"/>
    <x v="15"/>
    <x v="1031"/>
    <d v="2015-12-16T18:20:10"/>
    <x v="1"/>
    <x v="0"/>
  </r>
  <r>
    <x v="1032"/>
    <s v="Phantom Ship / Coastal (Album Preorder)"/>
    <s v="Ideal for living rooms and open spaces."/>
    <x v="105"/>
    <x v="756"/>
    <x v="0"/>
    <x v="0"/>
    <s v="USD"/>
    <n v="1466697625"/>
    <x v="1032"/>
    <x v="0"/>
    <n v="96"/>
    <x v="0"/>
    <s v="music/electronic music"/>
    <n v="108"/>
    <n v="61.03"/>
    <x v="4"/>
    <x v="15"/>
    <x v="1032"/>
    <d v="2016-06-23T16:00:25"/>
    <x v="1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x v="0"/>
    <n v="27"/>
    <x v="0"/>
    <s v="music/electronic music"/>
    <n v="103"/>
    <n v="50.59"/>
    <x v="4"/>
    <x v="15"/>
    <x v="1033"/>
    <d v="2016-12-12T17:34:40"/>
    <x v="240"/>
    <x v="2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x v="0"/>
    <n v="166"/>
    <x v="0"/>
    <s v="music/electronic music"/>
    <n v="130"/>
    <n v="39.159999999999997"/>
    <x v="4"/>
    <x v="15"/>
    <x v="1034"/>
    <d v="2016-08-05T03:59:00"/>
    <x v="114"/>
    <x v="2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x v="0"/>
    <n v="76"/>
    <x v="0"/>
    <s v="music/electronic music"/>
    <n v="108"/>
    <n v="65.16"/>
    <x v="4"/>
    <x v="15"/>
    <x v="1035"/>
    <d v="2015-02-11T15:23:40"/>
    <x v="1"/>
    <x v="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x v="0"/>
    <n v="211"/>
    <x v="0"/>
    <s v="music/electronic music"/>
    <n v="112"/>
    <n v="23.96"/>
    <x v="4"/>
    <x v="15"/>
    <x v="1036"/>
    <d v="2013-01-07T08:00:00"/>
    <x v="345"/>
    <x v="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x v="0"/>
    <n v="21"/>
    <x v="0"/>
    <s v="music/electronic music"/>
    <n v="102"/>
    <n v="48.62"/>
    <x v="4"/>
    <x v="15"/>
    <x v="1037"/>
    <d v="2015-05-18T05:00:00"/>
    <x v="346"/>
    <x v="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x v="0"/>
    <n v="61"/>
    <x v="0"/>
    <s v="music/electronic music"/>
    <n v="145"/>
    <n v="35.74"/>
    <x v="4"/>
    <x v="15"/>
    <x v="1038"/>
    <d v="2016-03-19T04:33:43"/>
    <x v="2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x v="0"/>
    <n v="30"/>
    <x v="0"/>
    <s v="music/electronic music"/>
    <n v="128"/>
    <n v="21.37"/>
    <x v="4"/>
    <x v="15"/>
    <x v="1039"/>
    <d v="2016-12-13T07:59:00"/>
    <x v="347"/>
    <x v="2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x v="0"/>
    <n v="1"/>
    <x v="1"/>
    <s v="journalism/audio"/>
    <n v="0"/>
    <n v="250"/>
    <x v="5"/>
    <x v="16"/>
    <x v="1040"/>
    <d v="2016-08-27T17:00:09"/>
    <x v="1"/>
    <x v="2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x v="0"/>
    <n v="0"/>
    <x v="1"/>
    <s v="journalism/audio"/>
    <n v="0"/>
    <n v="0"/>
    <x v="5"/>
    <x v="16"/>
    <x v="1041"/>
    <d v="2014-07-31T01:26:32"/>
    <x v="51"/>
    <x v="3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x v="0"/>
    <n v="1"/>
    <x v="1"/>
    <s v="journalism/audio"/>
    <n v="2"/>
    <n v="10"/>
    <x v="5"/>
    <x v="16"/>
    <x v="1042"/>
    <d v="2014-09-12T10:00:00"/>
    <x v="348"/>
    <x v="3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x v="0"/>
    <n v="292"/>
    <x v="1"/>
    <s v="journalism/audio"/>
    <n v="9"/>
    <n v="29.24"/>
    <x v="5"/>
    <x v="16"/>
    <x v="1043"/>
    <d v="2015-05-20T06:04:15"/>
    <x v="1"/>
    <x v="0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x v="0"/>
    <n v="2"/>
    <x v="1"/>
    <s v="journalism/audio"/>
    <n v="0"/>
    <n v="3"/>
    <x v="5"/>
    <x v="16"/>
    <x v="1044"/>
    <d v="2015-03-05T20:27:00"/>
    <x v="349"/>
    <x v="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x v="0"/>
    <n v="8"/>
    <x v="1"/>
    <s v="journalism/audio"/>
    <n v="3"/>
    <n v="33.25"/>
    <x v="5"/>
    <x v="16"/>
    <x v="1045"/>
    <d v="2014-08-23T20:59:10"/>
    <x v="1"/>
    <x v="3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x v="0"/>
    <n v="0"/>
    <x v="1"/>
    <s v="journalism/audio"/>
    <n v="0"/>
    <n v="0"/>
    <x v="5"/>
    <x v="16"/>
    <x v="1046"/>
    <d v="2015-12-26T20:26:00"/>
    <x v="26"/>
    <x v="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x v="0"/>
    <n v="1"/>
    <x v="1"/>
    <s v="journalism/audio"/>
    <n v="0"/>
    <n v="1"/>
    <x v="5"/>
    <x v="16"/>
    <x v="1047"/>
    <d v="2014-11-05T20:38:35"/>
    <x v="13"/>
    <x v="3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x v="0"/>
    <n v="4"/>
    <x v="1"/>
    <s v="journalism/audio"/>
    <n v="1"/>
    <n v="53"/>
    <x v="5"/>
    <x v="16"/>
    <x v="1048"/>
    <d v="2016-09-25T01:16:29"/>
    <x v="4"/>
    <x v="2"/>
  </r>
  <r>
    <x v="1049"/>
    <s v="J1 (Canceled)"/>
    <s v="------"/>
    <x v="14"/>
    <x v="117"/>
    <x v="1"/>
    <x v="0"/>
    <s v="USD"/>
    <n v="1455272445"/>
    <x v="1049"/>
    <x v="0"/>
    <n v="0"/>
    <x v="1"/>
    <s v="journalism/audio"/>
    <n v="0"/>
    <n v="0"/>
    <x v="5"/>
    <x v="16"/>
    <x v="1049"/>
    <d v="2016-02-12T10:20:45"/>
    <x v="1"/>
    <x v="2"/>
  </r>
  <r>
    <x v="1050"/>
    <s v="The (Secular) Barbershop Podcast (Canceled)"/>
    <s v="Secularism is on the rise and I hear you.Talk to me."/>
    <x v="30"/>
    <x v="117"/>
    <x v="1"/>
    <x v="0"/>
    <s v="USD"/>
    <n v="1442257677"/>
    <x v="1050"/>
    <x v="0"/>
    <n v="0"/>
    <x v="1"/>
    <s v="journalism/audio"/>
    <n v="0"/>
    <n v="0"/>
    <x v="5"/>
    <x v="16"/>
    <x v="1050"/>
    <d v="2015-09-14T19:07:57"/>
    <x v="1"/>
    <x v="0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x v="0"/>
    <n v="0"/>
    <x v="1"/>
    <s v="journalism/audio"/>
    <n v="0"/>
    <n v="0"/>
    <x v="5"/>
    <x v="16"/>
    <x v="1051"/>
    <d v="2014-08-27T00:20:25"/>
    <x v="240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x v="0"/>
    <n v="0"/>
    <x v="1"/>
    <s v="journalism/audio"/>
    <n v="0"/>
    <n v="0"/>
    <x v="5"/>
    <x v="16"/>
    <x v="1052"/>
    <d v="2016-06-06T20:09:00"/>
    <x v="350"/>
    <x v="2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x v="0"/>
    <n v="1"/>
    <x v="1"/>
    <s v="journalism/audio"/>
    <n v="1"/>
    <n v="15"/>
    <x v="5"/>
    <x v="16"/>
    <x v="1053"/>
    <d v="2017-03-06T04:08:52"/>
    <x v="36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x v="0"/>
    <n v="0"/>
    <x v="1"/>
    <s v="journalism/audio"/>
    <n v="0"/>
    <n v="0"/>
    <x v="5"/>
    <x v="16"/>
    <x v="1054"/>
    <d v="2014-08-10T22:00:00"/>
    <x v="351"/>
    <x v="3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x v="0"/>
    <n v="0"/>
    <x v="1"/>
    <s v="journalism/audio"/>
    <n v="0"/>
    <n v="0"/>
    <x v="5"/>
    <x v="16"/>
    <x v="1055"/>
    <d v="2016-03-07T23:49:05"/>
    <x v="1"/>
    <x v="2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x v="0"/>
    <n v="0"/>
    <x v="1"/>
    <s v="journalism/audio"/>
    <n v="0"/>
    <n v="0"/>
    <x v="5"/>
    <x v="16"/>
    <x v="1056"/>
    <d v="2015-04-24T16:16:17"/>
    <x v="80"/>
    <x v="0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x v="0"/>
    <n v="0"/>
    <x v="1"/>
    <s v="journalism/audio"/>
    <n v="0"/>
    <n v="0"/>
    <x v="5"/>
    <x v="16"/>
    <x v="1057"/>
    <d v="2016-12-04T21:54:43"/>
    <x v="13"/>
    <x v="2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x v="0"/>
    <n v="0"/>
    <x v="1"/>
    <s v="journalism/audio"/>
    <n v="0"/>
    <n v="0"/>
    <x v="5"/>
    <x v="16"/>
    <x v="1058"/>
    <d v="2015-03-26T00:00:00"/>
    <x v="352"/>
    <x v="0"/>
  </r>
  <r>
    <x v="1059"/>
    <s v="Voice Over Artist (Canceled)"/>
    <s v="Turning myself into a vocal artist."/>
    <x v="184"/>
    <x v="117"/>
    <x v="1"/>
    <x v="0"/>
    <s v="USD"/>
    <n v="1426269456"/>
    <x v="1059"/>
    <x v="0"/>
    <n v="0"/>
    <x v="1"/>
    <s v="journalism/audio"/>
    <n v="0"/>
    <n v="0"/>
    <x v="5"/>
    <x v="16"/>
    <x v="1059"/>
    <d v="2015-03-13T17:57:36"/>
    <x v="22"/>
    <x v="0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x v="0"/>
    <n v="1"/>
    <x v="1"/>
    <s v="journalism/audio"/>
    <n v="1"/>
    <n v="50"/>
    <x v="5"/>
    <x v="16"/>
    <x v="1060"/>
    <d v="2015-04-15T21:54:53"/>
    <x v="1"/>
    <x v="0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x v="0"/>
    <n v="0"/>
    <x v="1"/>
    <s v="journalism/audio"/>
    <n v="0"/>
    <n v="0"/>
    <x v="5"/>
    <x v="16"/>
    <x v="1061"/>
    <d v="2016-05-02T01:00:00"/>
    <x v="353"/>
    <x v="2"/>
  </r>
  <r>
    <x v="1062"/>
    <s v="RETURNING AT A LATER DATE"/>
    <s v="SEE US ON PATREON www.badgirlartwork.com"/>
    <x v="212"/>
    <x v="121"/>
    <x v="1"/>
    <x v="0"/>
    <s v="USD"/>
    <n v="1468351341"/>
    <x v="1062"/>
    <x v="0"/>
    <n v="4"/>
    <x v="1"/>
    <s v="journalism/audio"/>
    <n v="95"/>
    <n v="47.5"/>
    <x v="5"/>
    <x v="16"/>
    <x v="1062"/>
    <d v="2016-07-12T19:22:21"/>
    <x v="354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x v="0"/>
    <n v="0"/>
    <x v="1"/>
    <s v="journalism/audio"/>
    <n v="0"/>
    <n v="0"/>
    <x v="5"/>
    <x v="16"/>
    <x v="1063"/>
    <d v="2016-08-31T00:44:22"/>
    <x v="1"/>
    <x v="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x v="0"/>
    <n v="123"/>
    <x v="1"/>
    <s v="games/video games"/>
    <n v="9"/>
    <n v="65.67"/>
    <x v="6"/>
    <x v="17"/>
    <x v="1064"/>
    <d v="2013-07-07T05:28:23"/>
    <x v="26"/>
    <x v="4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x v="0"/>
    <n v="5"/>
    <x v="1"/>
    <s v="games/video games"/>
    <n v="3"/>
    <n v="16.2"/>
    <x v="6"/>
    <x v="17"/>
    <x v="1065"/>
    <d v="2014-02-19T09:08:42"/>
    <x v="240"/>
    <x v="3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x v="0"/>
    <n v="148"/>
    <x v="1"/>
    <s v="games/video games"/>
    <n v="3"/>
    <n v="34.130000000000003"/>
    <x v="6"/>
    <x v="17"/>
    <x v="1066"/>
    <d v="2013-08-04T23:06:22"/>
    <x v="26"/>
    <x v="4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x v="0"/>
    <n v="10"/>
    <x v="1"/>
    <s v="games/video games"/>
    <n v="26"/>
    <n v="13"/>
    <x v="6"/>
    <x v="17"/>
    <x v="1067"/>
    <d v="2013-12-21T20:32:11"/>
    <x v="1"/>
    <x v="4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x v="0"/>
    <n v="4"/>
    <x v="1"/>
    <s v="games/video games"/>
    <n v="0"/>
    <n v="11.25"/>
    <x v="6"/>
    <x v="17"/>
    <x v="1068"/>
    <d v="2016-04-10T07:54:24"/>
    <x v="22"/>
    <x v="2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x v="0"/>
    <n v="21"/>
    <x v="1"/>
    <s v="games/video games"/>
    <n v="39"/>
    <n v="40.479999999999997"/>
    <x v="6"/>
    <x v="17"/>
    <x v="1069"/>
    <d v="2013-11-26T06:30:59"/>
    <x v="355"/>
    <x v="4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x v="0"/>
    <n v="2"/>
    <x v="1"/>
    <s v="games/video games"/>
    <n v="1"/>
    <n v="35"/>
    <x v="6"/>
    <x v="17"/>
    <x v="1070"/>
    <d v="2012-10-01T00:17:02"/>
    <x v="51"/>
    <x v="5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x v="0"/>
    <n v="0"/>
    <x v="1"/>
    <s v="games/video games"/>
    <n v="0"/>
    <n v="0"/>
    <x v="6"/>
    <x v="17"/>
    <x v="1071"/>
    <d v="2015-11-17T19:04:53"/>
    <x v="13"/>
    <x v="0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x v="0"/>
    <n v="4"/>
    <x v="1"/>
    <s v="games/video games"/>
    <n v="0"/>
    <n v="12.75"/>
    <x v="6"/>
    <x v="17"/>
    <x v="1072"/>
    <d v="2014-02-05T19:58:17"/>
    <x v="1"/>
    <x v="3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x v="0"/>
    <n v="1"/>
    <x v="1"/>
    <s v="games/video games"/>
    <n v="1"/>
    <n v="10"/>
    <x v="6"/>
    <x v="17"/>
    <x v="1073"/>
    <d v="2011-10-16T23:09:01"/>
    <x v="1"/>
    <x v="6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x v="0"/>
    <n v="30"/>
    <x v="1"/>
    <s v="games/video games"/>
    <n v="6"/>
    <n v="113.57"/>
    <x v="6"/>
    <x v="17"/>
    <x v="1074"/>
    <d v="2014-01-04T04:09:05"/>
    <x v="1"/>
    <x v="4"/>
  </r>
  <r>
    <x v="1075"/>
    <s v="Towers Of The Apocalypse"/>
    <s v="Fully 3D, post Apocalyptic themed tower defense video game. New take on the genre."/>
    <x v="28"/>
    <x v="372"/>
    <x v="2"/>
    <x v="0"/>
    <s v="USD"/>
    <n v="1336340516"/>
    <x v="1075"/>
    <x v="0"/>
    <n v="3"/>
    <x v="1"/>
    <s v="games/video games"/>
    <n v="5"/>
    <n v="15"/>
    <x v="6"/>
    <x v="17"/>
    <x v="1075"/>
    <d v="2012-05-06T21:41:56"/>
    <x v="1"/>
    <x v="5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x v="0"/>
    <n v="975"/>
    <x v="1"/>
    <s v="games/video games"/>
    <n v="63"/>
    <n v="48.28"/>
    <x v="6"/>
    <x v="17"/>
    <x v="1076"/>
    <d v="2014-09-11T09:04:10"/>
    <x v="233"/>
    <x v="3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x v="0"/>
    <n v="167"/>
    <x v="1"/>
    <s v="games/video games"/>
    <n v="29"/>
    <n v="43.98"/>
    <x v="6"/>
    <x v="17"/>
    <x v="1077"/>
    <d v="2016-01-14T04:00:11"/>
    <x v="1"/>
    <x v="0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x v="0"/>
    <n v="5"/>
    <x v="1"/>
    <s v="games/video games"/>
    <n v="8"/>
    <n v="9"/>
    <x v="6"/>
    <x v="17"/>
    <x v="1078"/>
    <d v="2011-07-22T04:42:01"/>
    <x v="26"/>
    <x v="6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x v="0"/>
    <n v="18"/>
    <x v="1"/>
    <s v="games/video games"/>
    <n v="3"/>
    <n v="37.67"/>
    <x v="6"/>
    <x v="17"/>
    <x v="1079"/>
    <d v="2016-05-14T13:35:36"/>
    <x v="36"/>
    <x v="2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x v="0"/>
    <n v="98"/>
    <x v="1"/>
    <s v="games/video games"/>
    <n v="9"/>
    <n v="18.579999999999998"/>
    <x v="6"/>
    <x v="17"/>
    <x v="1080"/>
    <d v="2014-05-11T03:18:53"/>
    <x v="1"/>
    <x v="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x v="0"/>
    <n v="4"/>
    <x v="1"/>
    <s v="games/video games"/>
    <n v="0"/>
    <n v="3"/>
    <x v="6"/>
    <x v="17"/>
    <x v="1081"/>
    <d v="2015-01-28T22:14:52"/>
    <x v="1"/>
    <x v="3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x v="0"/>
    <n v="3"/>
    <x v="1"/>
    <s v="games/video games"/>
    <n v="1"/>
    <n v="18.670000000000002"/>
    <x v="6"/>
    <x v="17"/>
    <x v="1082"/>
    <d v="2012-08-10T21:44:48"/>
    <x v="1"/>
    <x v="5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x v="0"/>
    <n v="1"/>
    <x v="1"/>
    <s v="games/video games"/>
    <n v="1"/>
    <n v="410"/>
    <x v="6"/>
    <x v="17"/>
    <x v="1083"/>
    <d v="2014-08-02T15:49:43"/>
    <x v="14"/>
    <x v="3"/>
  </r>
  <r>
    <x v="1084"/>
    <s v="My own channel"/>
    <s v="I want to start my own channel for gaming"/>
    <x v="131"/>
    <x v="117"/>
    <x v="2"/>
    <x v="0"/>
    <s v="USD"/>
    <n v="1407534804"/>
    <x v="1084"/>
    <x v="0"/>
    <n v="0"/>
    <x v="1"/>
    <s v="games/video games"/>
    <n v="0"/>
    <n v="0"/>
    <x v="6"/>
    <x v="17"/>
    <x v="1084"/>
    <d v="2014-08-08T21:53:24"/>
    <x v="1"/>
    <x v="3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x v="0"/>
    <n v="9"/>
    <x v="1"/>
    <s v="games/video games"/>
    <n v="3"/>
    <n v="114"/>
    <x v="6"/>
    <x v="17"/>
    <x v="1085"/>
    <d v="2016-03-14T15:06:15"/>
    <x v="22"/>
    <x v="2"/>
  </r>
  <r>
    <x v="1086"/>
    <s v="Cyber Universe Online"/>
    <s v="Humanity's future in the Galaxy"/>
    <x v="102"/>
    <x v="493"/>
    <x v="2"/>
    <x v="0"/>
    <s v="USD"/>
    <n v="1408913291"/>
    <x v="1086"/>
    <x v="0"/>
    <n v="2"/>
    <x v="1"/>
    <s v="games/video games"/>
    <n v="0"/>
    <n v="7.5"/>
    <x v="6"/>
    <x v="17"/>
    <x v="1086"/>
    <d v="2014-08-24T20:48:11"/>
    <x v="1"/>
    <x v="3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x v="0"/>
    <n v="0"/>
    <x v="1"/>
    <s v="games/video games"/>
    <n v="0"/>
    <n v="0"/>
    <x v="6"/>
    <x v="17"/>
    <x v="1087"/>
    <d v="2014-06-15T17:08:07"/>
    <x v="1"/>
    <x v="3"/>
  </r>
  <r>
    <x v="1088"/>
    <s v="Still Alive"/>
    <s v="A fresh twist on survival games. Intense, high-stakes 30 minute rounds for up to 10 players."/>
    <x v="101"/>
    <x v="773"/>
    <x v="2"/>
    <x v="0"/>
    <s v="USD"/>
    <n v="1398366667"/>
    <x v="1088"/>
    <x v="0"/>
    <n v="147"/>
    <x v="1"/>
    <s v="games/video games"/>
    <n v="14"/>
    <n v="43.42"/>
    <x v="6"/>
    <x v="17"/>
    <x v="1088"/>
    <d v="2014-04-24T19:11:07"/>
    <x v="1"/>
    <x v="3"/>
  </r>
  <r>
    <x v="1089"/>
    <s v="Farabel"/>
    <s v="Farabel is a single player turn-based fantasy strategy game for Mac/PC/Linux"/>
    <x v="36"/>
    <x v="774"/>
    <x v="2"/>
    <x v="6"/>
    <s v="EUR"/>
    <n v="1435293175"/>
    <x v="1089"/>
    <x v="0"/>
    <n v="49"/>
    <x v="1"/>
    <s v="games/video games"/>
    <n v="8"/>
    <n v="23.96"/>
    <x v="6"/>
    <x v="17"/>
    <x v="1089"/>
    <d v="2015-06-26T04:32:55"/>
    <x v="1"/>
    <x v="0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x v="0"/>
    <n v="1"/>
    <x v="1"/>
    <s v="games/video games"/>
    <n v="0"/>
    <n v="5"/>
    <x v="6"/>
    <x v="17"/>
    <x v="1090"/>
    <d v="2015-05-29T04:27:33"/>
    <x v="1"/>
    <x v="0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x v="0"/>
    <n v="2"/>
    <x v="1"/>
    <s v="games/video games"/>
    <n v="13"/>
    <n v="12.5"/>
    <x v="6"/>
    <x v="17"/>
    <x v="1091"/>
    <d v="2016-04-10T18:41:12"/>
    <x v="22"/>
    <x v="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x v="0"/>
    <n v="7"/>
    <x v="1"/>
    <s v="games/video games"/>
    <n v="1"/>
    <n v="3"/>
    <x v="6"/>
    <x v="17"/>
    <x v="1092"/>
    <d v="2013-01-06T00:37:18"/>
    <x v="1"/>
    <x v="5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x v="0"/>
    <n v="4"/>
    <x v="1"/>
    <s v="games/video games"/>
    <n v="14"/>
    <n v="10.56"/>
    <x v="6"/>
    <x v="17"/>
    <x v="1093"/>
    <d v="2016-02-11T23:22:17"/>
    <x v="20"/>
    <x v="2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x v="0"/>
    <n v="27"/>
    <x v="1"/>
    <s v="games/video games"/>
    <n v="18"/>
    <n v="122"/>
    <x v="6"/>
    <x v="17"/>
    <x v="1094"/>
    <d v="2011-10-09T17:07:13"/>
    <x v="1"/>
    <x v="6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x v="0"/>
    <n v="94"/>
    <x v="1"/>
    <s v="games/video games"/>
    <n v="5"/>
    <n v="267.81"/>
    <x v="6"/>
    <x v="17"/>
    <x v="1095"/>
    <d v="2013-08-30T12:53:40"/>
    <x v="1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x v="0"/>
    <n v="29"/>
    <x v="1"/>
    <s v="games/video games"/>
    <n v="18"/>
    <n v="74.209999999999994"/>
    <x v="6"/>
    <x v="17"/>
    <x v="1096"/>
    <d v="2014-10-04T03:30:00"/>
    <x v="356"/>
    <x v="3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x v="0"/>
    <n v="7"/>
    <x v="1"/>
    <s v="games/video games"/>
    <n v="0"/>
    <n v="6.71"/>
    <x v="6"/>
    <x v="17"/>
    <x v="1097"/>
    <d v="2014-03-02T19:01:17"/>
    <x v="4"/>
    <x v="3"/>
  </r>
  <r>
    <x v="1098"/>
    <s v="Kick, Punch... Fireball"/>
    <s v="Kick, Punch... Fireball is an FPS type arena game set inside the fantasy world."/>
    <x v="31"/>
    <x v="780"/>
    <x v="2"/>
    <x v="0"/>
    <s v="USD"/>
    <n v="1397413095"/>
    <x v="1098"/>
    <x v="0"/>
    <n v="22"/>
    <x v="1"/>
    <s v="games/video games"/>
    <n v="7"/>
    <n v="81.95"/>
    <x v="6"/>
    <x v="17"/>
    <x v="1098"/>
    <d v="2014-04-13T18:18:15"/>
    <x v="1"/>
    <x v="3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x v="0"/>
    <n v="1"/>
    <x v="1"/>
    <s v="games/video games"/>
    <n v="1"/>
    <n v="25"/>
    <x v="6"/>
    <x v="17"/>
    <x v="1099"/>
    <d v="2015-05-13T20:04:28"/>
    <x v="1"/>
    <x v="0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x v="0"/>
    <n v="10"/>
    <x v="1"/>
    <s v="games/video games"/>
    <n v="3"/>
    <n v="10"/>
    <x v="6"/>
    <x v="17"/>
    <x v="1100"/>
    <d v="2016-02-14T02:39:31"/>
    <x v="1"/>
    <x v="2"/>
  </r>
  <r>
    <x v="1101"/>
    <s v="Strain Wars"/>
    <s v="Different strains of marijuana leafs battling to the death to see which one is the top strain."/>
    <x v="57"/>
    <x v="781"/>
    <x v="2"/>
    <x v="0"/>
    <s v="USD"/>
    <n v="1468519920"/>
    <x v="1101"/>
    <x v="0"/>
    <n v="6"/>
    <x v="1"/>
    <s v="games/video games"/>
    <n v="0"/>
    <n v="6.83"/>
    <x v="6"/>
    <x v="17"/>
    <x v="1101"/>
    <d v="2016-07-14T18:12:00"/>
    <x v="357"/>
    <x v="2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x v="0"/>
    <n v="24"/>
    <x v="1"/>
    <s v="games/video games"/>
    <n v="5"/>
    <n v="17.71"/>
    <x v="6"/>
    <x v="17"/>
    <x v="1102"/>
    <d v="2013-12-09T05:59:00"/>
    <x v="358"/>
    <x v="4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x v="0"/>
    <n v="15"/>
    <x v="1"/>
    <s v="games/video games"/>
    <n v="2"/>
    <n v="16.2"/>
    <x v="6"/>
    <x v="17"/>
    <x v="1103"/>
    <d v="2016-06-18T05:19:50"/>
    <x v="14"/>
    <x v="2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x v="0"/>
    <n v="37"/>
    <x v="1"/>
    <s v="games/video games"/>
    <n v="5"/>
    <n v="80.3"/>
    <x v="6"/>
    <x v="17"/>
    <x v="1104"/>
    <d v="2014-06-11T09:50:21"/>
    <x v="1"/>
    <x v="3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x v="0"/>
    <n v="20"/>
    <x v="1"/>
    <s v="games/video games"/>
    <n v="0"/>
    <n v="71.55"/>
    <x v="6"/>
    <x v="17"/>
    <x v="1105"/>
    <d v="2014-03-24T02:15:27"/>
    <x v="22"/>
    <x v="3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x v="0"/>
    <n v="7"/>
    <x v="1"/>
    <s v="games/video games"/>
    <n v="41"/>
    <n v="23.57"/>
    <x v="6"/>
    <x v="17"/>
    <x v="1106"/>
    <d v="2012-04-04T16:46:15"/>
    <x v="22"/>
    <x v="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x v="0"/>
    <n v="0"/>
    <x v="1"/>
    <s v="games/video games"/>
    <n v="0"/>
    <n v="0"/>
    <x v="6"/>
    <x v="17"/>
    <x v="1107"/>
    <d v="2014-07-23T20:40:24"/>
    <x v="1"/>
    <x v="3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x v="0"/>
    <n v="21"/>
    <x v="1"/>
    <s v="games/video games"/>
    <n v="3"/>
    <n v="34.880000000000003"/>
    <x v="6"/>
    <x v="17"/>
    <x v="1108"/>
    <d v="2012-04-13T14:17:15"/>
    <x v="80"/>
    <x v="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x v="0"/>
    <n v="3"/>
    <x v="1"/>
    <s v="games/video games"/>
    <n v="0"/>
    <n v="15"/>
    <x v="6"/>
    <x v="17"/>
    <x v="1109"/>
    <d v="2016-11-18T19:03:10"/>
    <x v="13"/>
    <x v="2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x v="0"/>
    <n v="11"/>
    <x v="1"/>
    <s v="games/video games"/>
    <n v="1"/>
    <n v="23.18"/>
    <x v="6"/>
    <x v="17"/>
    <x v="1110"/>
    <d v="2012-12-07T22:23:42"/>
    <x v="1"/>
    <x v="5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x v="0"/>
    <n v="1"/>
    <x v="1"/>
    <s v="games/video games"/>
    <n v="0"/>
    <n v="1"/>
    <x v="6"/>
    <x v="17"/>
    <x v="1111"/>
    <d v="2016-01-08T04:53:10"/>
    <x v="1"/>
    <x v="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x v="0"/>
    <n v="312"/>
    <x v="1"/>
    <s v="games/video games"/>
    <n v="36"/>
    <n v="100.23"/>
    <x v="6"/>
    <x v="17"/>
    <x v="1112"/>
    <d v="2015-01-19T08:30:00"/>
    <x v="359"/>
    <x v="3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x v="0"/>
    <n v="1"/>
    <x v="1"/>
    <s v="games/video games"/>
    <n v="1"/>
    <n v="5"/>
    <x v="6"/>
    <x v="17"/>
    <x v="1113"/>
    <d v="2014-08-14T23:27:00"/>
    <x v="1"/>
    <x v="3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x v="0"/>
    <n v="3"/>
    <x v="1"/>
    <s v="games/video games"/>
    <n v="0"/>
    <n v="3.33"/>
    <x v="6"/>
    <x v="17"/>
    <x v="1114"/>
    <d v="2013-10-09T08:18:07"/>
    <x v="1"/>
    <x v="4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x v="0"/>
    <n v="4"/>
    <x v="1"/>
    <s v="games/video games"/>
    <n v="0"/>
    <n v="13.25"/>
    <x v="6"/>
    <x v="17"/>
    <x v="1115"/>
    <d v="2016-03-30T15:41:35"/>
    <x v="22"/>
    <x v="2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x v="0"/>
    <n v="10"/>
    <x v="1"/>
    <s v="games/video games"/>
    <n v="0"/>
    <n v="17.850000000000001"/>
    <x v="6"/>
    <x v="17"/>
    <x v="1116"/>
    <d v="2012-06-09T20:20:08"/>
    <x v="14"/>
    <x v="5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x v="0"/>
    <n v="8"/>
    <x v="1"/>
    <s v="games/video games"/>
    <n v="8"/>
    <n v="10.38"/>
    <x v="6"/>
    <x v="17"/>
    <x v="1117"/>
    <d v="2015-12-25T14:21:53"/>
    <x v="1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x v="0"/>
    <n v="3"/>
    <x v="1"/>
    <s v="games/video games"/>
    <n v="2"/>
    <n v="36.33"/>
    <x v="6"/>
    <x v="17"/>
    <x v="1118"/>
    <d v="2014-04-05T02:59:39"/>
    <x v="22"/>
    <x v="3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x v="0"/>
    <n v="1"/>
    <x v="1"/>
    <s v="games/video games"/>
    <n v="0"/>
    <n v="5"/>
    <x v="6"/>
    <x v="17"/>
    <x v="1119"/>
    <d v="2014-04-06T19:01:04"/>
    <x v="360"/>
    <x v="3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x v="0"/>
    <n v="0"/>
    <x v="1"/>
    <s v="games/video games"/>
    <n v="0"/>
    <n v="0"/>
    <x v="6"/>
    <x v="17"/>
    <x v="1120"/>
    <d v="2011-10-28T20:56:40"/>
    <x v="26"/>
    <x v="6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x v="0"/>
    <n v="5"/>
    <x v="1"/>
    <s v="games/video games"/>
    <n v="0"/>
    <n v="5.8"/>
    <x v="6"/>
    <x v="17"/>
    <x v="1121"/>
    <d v="2016-03-13T21:25:16"/>
    <x v="22"/>
    <x v="2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x v="0"/>
    <n v="0"/>
    <x v="1"/>
    <s v="games/video games"/>
    <n v="0"/>
    <n v="0"/>
    <x v="6"/>
    <x v="17"/>
    <x v="1122"/>
    <d v="2013-05-30T16:53:45"/>
    <x v="59"/>
    <x v="4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x v="0"/>
    <n v="3"/>
    <x v="1"/>
    <s v="games/video games"/>
    <n v="0"/>
    <n v="3.67"/>
    <x v="6"/>
    <x v="17"/>
    <x v="1123"/>
    <d v="2014-04-19T12:34:08"/>
    <x v="1"/>
    <x v="3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x v="0"/>
    <n v="7"/>
    <x v="1"/>
    <s v="games/mobile games"/>
    <n v="0"/>
    <n v="60.71"/>
    <x v="6"/>
    <x v="18"/>
    <x v="1124"/>
    <d v="2015-04-30T16:00:51"/>
    <x v="1"/>
    <x v="0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x v="0"/>
    <n v="0"/>
    <x v="1"/>
    <s v="games/mobile games"/>
    <n v="0"/>
    <n v="0"/>
    <x v="6"/>
    <x v="18"/>
    <x v="1125"/>
    <d v="2015-09-25T14:58:50"/>
    <x v="14"/>
    <x v="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x v="0"/>
    <n v="2"/>
    <x v="1"/>
    <s v="games/mobile games"/>
    <n v="1"/>
    <n v="5"/>
    <x v="6"/>
    <x v="18"/>
    <x v="1126"/>
    <d v="2016-07-14T07:51:34"/>
    <x v="1"/>
    <x v="2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x v="0"/>
    <n v="23"/>
    <x v="1"/>
    <s v="games/mobile games"/>
    <n v="2"/>
    <n v="25.43"/>
    <x v="6"/>
    <x v="18"/>
    <x v="1127"/>
    <d v="2014-11-14T21:30:00"/>
    <x v="160"/>
    <x v="3"/>
  </r>
  <r>
    <x v="1128"/>
    <s v="Flying Turds"/>
    <s v="#havingfunFTW"/>
    <x v="28"/>
    <x v="116"/>
    <x v="2"/>
    <x v="1"/>
    <s v="GBP"/>
    <n v="1407425717"/>
    <x v="1128"/>
    <x v="0"/>
    <n v="1"/>
    <x v="1"/>
    <s v="games/mobile games"/>
    <n v="0"/>
    <n v="1"/>
    <x v="6"/>
    <x v="18"/>
    <x v="1128"/>
    <d v="2014-08-07T15:35:17"/>
    <x v="1"/>
    <x v="3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x v="0"/>
    <n v="2"/>
    <x v="1"/>
    <s v="games/mobile games"/>
    <n v="0"/>
    <n v="10.5"/>
    <x v="6"/>
    <x v="18"/>
    <x v="1129"/>
    <d v="2016-06-05T06:21:33"/>
    <x v="1"/>
    <x v="2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x v="0"/>
    <n v="3"/>
    <x v="1"/>
    <s v="games/mobile games"/>
    <n v="0"/>
    <n v="3.67"/>
    <x v="6"/>
    <x v="18"/>
    <x v="1130"/>
    <d v="2014-11-26T00:55:00"/>
    <x v="27"/>
    <x v="3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x v="0"/>
    <n v="0"/>
    <x v="1"/>
    <s v="games/mobile games"/>
    <n v="0"/>
    <n v="0"/>
    <x v="6"/>
    <x v="18"/>
    <x v="1131"/>
    <d v="2015-12-24T21:47:48"/>
    <x v="1"/>
    <x v="0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x v="0"/>
    <n v="13"/>
    <x v="1"/>
    <s v="games/mobile games"/>
    <n v="14"/>
    <n v="110.62"/>
    <x v="6"/>
    <x v="18"/>
    <x v="1132"/>
    <d v="2017-01-01T02:46:11"/>
    <x v="1"/>
    <x v="2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x v="0"/>
    <n v="1"/>
    <x v="1"/>
    <s v="games/mobile games"/>
    <n v="1"/>
    <n v="20"/>
    <x v="6"/>
    <x v="18"/>
    <x v="1133"/>
    <d v="2014-07-31T09:46:21"/>
    <x v="1"/>
    <x v="3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x v="0"/>
    <n v="1"/>
    <x v="1"/>
    <s v="games/mobile games"/>
    <n v="0"/>
    <n v="1"/>
    <x v="6"/>
    <x v="18"/>
    <x v="1134"/>
    <d v="2014-11-29T04:33:00"/>
    <x v="361"/>
    <x v="3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x v="0"/>
    <n v="1"/>
    <x v="1"/>
    <s v="games/mobile games"/>
    <n v="5"/>
    <n v="50"/>
    <x v="6"/>
    <x v="18"/>
    <x v="1135"/>
    <d v="2016-08-06T23:44:54"/>
    <x v="1"/>
    <x v="2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x v="0"/>
    <n v="6"/>
    <x v="1"/>
    <s v="games/mobile games"/>
    <n v="6"/>
    <n v="45"/>
    <x v="6"/>
    <x v="18"/>
    <x v="1136"/>
    <d v="2015-12-19T16:07:09"/>
    <x v="1"/>
    <x v="0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x v="0"/>
    <n v="39"/>
    <x v="1"/>
    <s v="games/mobile games"/>
    <n v="40"/>
    <n v="253.21"/>
    <x v="6"/>
    <x v="18"/>
    <x v="1137"/>
    <d v="2016-04-23T19:40:21"/>
    <x v="1"/>
    <x v="2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x v="0"/>
    <n v="4"/>
    <x v="1"/>
    <s v="games/mobile games"/>
    <n v="0"/>
    <n v="31.25"/>
    <x v="6"/>
    <x v="18"/>
    <x v="1138"/>
    <d v="2017-01-21T21:45:31"/>
    <x v="51"/>
    <x v="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x v="0"/>
    <n v="1"/>
    <x v="1"/>
    <s v="games/mobile games"/>
    <n v="0"/>
    <n v="5"/>
    <x v="6"/>
    <x v="18"/>
    <x v="1139"/>
    <d v="2015-01-01T08:20:26"/>
    <x v="1"/>
    <x v="3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x v="0"/>
    <n v="0"/>
    <x v="1"/>
    <s v="games/mobile games"/>
    <n v="0"/>
    <n v="0"/>
    <x v="6"/>
    <x v="18"/>
    <x v="1140"/>
    <d v="2015-08-06T11:05:21"/>
    <x v="1"/>
    <x v="0"/>
  </r>
  <r>
    <x v="1141"/>
    <s v="Arena Z - Zombie Survival"/>
    <s v="I think this will be a great game!"/>
    <x v="2"/>
    <x v="117"/>
    <x v="2"/>
    <x v="12"/>
    <s v="EUR"/>
    <n v="1436460450"/>
    <x v="1141"/>
    <x v="0"/>
    <n v="0"/>
    <x v="1"/>
    <s v="games/mobile games"/>
    <n v="0"/>
    <n v="0"/>
    <x v="6"/>
    <x v="18"/>
    <x v="1141"/>
    <d v="2015-07-09T16:47:30"/>
    <x v="1"/>
    <x v="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x v="0"/>
    <n v="0"/>
    <x v="1"/>
    <s v="games/mobile games"/>
    <n v="0"/>
    <n v="0"/>
    <x v="6"/>
    <x v="18"/>
    <x v="1142"/>
    <d v="2015-02-17T00:08:47"/>
    <x v="1"/>
    <x v="0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x v="0"/>
    <n v="8"/>
    <x v="1"/>
    <s v="games/mobile games"/>
    <n v="0"/>
    <n v="23.25"/>
    <x v="6"/>
    <x v="18"/>
    <x v="1143"/>
    <d v="2015-12-17T04:38:46"/>
    <x v="1"/>
    <x v="0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x v="0"/>
    <n v="0"/>
    <x v="1"/>
    <s v="food/food trucks"/>
    <n v="0"/>
    <n v="0"/>
    <x v="7"/>
    <x v="19"/>
    <x v="1144"/>
    <d v="2015-04-29T04:22:00"/>
    <x v="1"/>
    <x v="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x v="0"/>
    <n v="1"/>
    <x v="1"/>
    <s v="food/food trucks"/>
    <n v="0"/>
    <n v="100"/>
    <x v="7"/>
    <x v="19"/>
    <x v="1145"/>
    <d v="2014-10-02T17:56:32"/>
    <x v="14"/>
    <x v="3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x v="0"/>
    <n v="12"/>
    <x v="1"/>
    <s v="food/food trucks"/>
    <n v="9"/>
    <n v="44.17"/>
    <x v="7"/>
    <x v="19"/>
    <x v="1146"/>
    <d v="2014-05-02T22:52:53"/>
    <x v="327"/>
    <x v="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x v="0"/>
    <n v="0"/>
    <x v="1"/>
    <s v="food/food trucks"/>
    <n v="0"/>
    <n v="0"/>
    <x v="7"/>
    <x v="19"/>
    <x v="1147"/>
    <d v="2014-10-19T23:19:43"/>
    <x v="14"/>
    <x v="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x v="0"/>
    <n v="3"/>
    <x v="1"/>
    <s v="food/food trucks"/>
    <n v="0"/>
    <n v="24.33"/>
    <x v="7"/>
    <x v="19"/>
    <x v="1148"/>
    <d v="2016-12-01T05:06:21"/>
    <x v="13"/>
    <x v="2"/>
  </r>
  <r>
    <x v="1149"/>
    <s v="The Floridian Food Truck"/>
    <s v="Bringing culturally diverse Floridian cuisine to the people!"/>
    <x v="63"/>
    <x v="735"/>
    <x v="2"/>
    <x v="0"/>
    <s v="USD"/>
    <n v="1466096566"/>
    <x v="1149"/>
    <x v="0"/>
    <n v="2"/>
    <x v="1"/>
    <s v="food/food trucks"/>
    <n v="0"/>
    <n v="37.5"/>
    <x v="7"/>
    <x v="19"/>
    <x v="1149"/>
    <d v="2016-06-16T17:02:46"/>
    <x v="1"/>
    <x v="2"/>
  </r>
  <r>
    <x v="1150"/>
    <s v="Chef Po's Food Truck"/>
    <s v="Bringing delicious authentic and fusion Taiwanese Food to the West Coast."/>
    <x v="30"/>
    <x v="800"/>
    <x v="2"/>
    <x v="0"/>
    <s v="USD"/>
    <n v="1452293675"/>
    <x v="1150"/>
    <x v="0"/>
    <n v="6"/>
    <x v="1"/>
    <s v="food/food trucks"/>
    <n v="10"/>
    <n v="42"/>
    <x v="7"/>
    <x v="19"/>
    <x v="1150"/>
    <d v="2016-01-08T22:54:35"/>
    <x v="14"/>
    <x v="0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x v="0"/>
    <n v="0"/>
    <x v="1"/>
    <s v="food/food trucks"/>
    <n v="0"/>
    <n v="0"/>
    <x v="7"/>
    <x v="19"/>
    <x v="1151"/>
    <d v="2015-09-07T02:27:43"/>
    <x v="1"/>
    <x v="0"/>
  </r>
  <r>
    <x v="1152"/>
    <s v="Peruvian King Food Truck"/>
    <s v="Peruvian food truck with an LA twist."/>
    <x v="194"/>
    <x v="608"/>
    <x v="2"/>
    <x v="0"/>
    <s v="USD"/>
    <n v="1431709312"/>
    <x v="1152"/>
    <x v="0"/>
    <n v="15"/>
    <x v="1"/>
    <s v="food/food trucks"/>
    <n v="6"/>
    <n v="60.73"/>
    <x v="7"/>
    <x v="19"/>
    <x v="1152"/>
    <d v="2015-05-15T17:01:52"/>
    <x v="1"/>
    <x v="0"/>
  </r>
  <r>
    <x v="1153"/>
    <s v="The Cold Spot Mobile Trailer"/>
    <s v="A mobile concession trailer for snow cones, ice cream, smoothies and more"/>
    <x v="6"/>
    <x v="155"/>
    <x v="2"/>
    <x v="0"/>
    <s v="USD"/>
    <n v="1434647305"/>
    <x v="1153"/>
    <x v="0"/>
    <n v="1"/>
    <x v="1"/>
    <s v="food/food trucks"/>
    <n v="1"/>
    <n v="50"/>
    <x v="7"/>
    <x v="19"/>
    <x v="1153"/>
    <d v="2015-06-18T17:08:25"/>
    <x v="1"/>
    <x v="0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x v="0"/>
    <n v="3"/>
    <x v="1"/>
    <s v="food/food trucks"/>
    <n v="7"/>
    <n v="108.33"/>
    <x v="7"/>
    <x v="19"/>
    <x v="1154"/>
    <d v="2015-09-06T02:36:46"/>
    <x v="1"/>
    <x v="0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x v="0"/>
    <n v="8"/>
    <x v="1"/>
    <s v="food/food trucks"/>
    <n v="1"/>
    <n v="23.5"/>
    <x v="7"/>
    <x v="19"/>
    <x v="1155"/>
    <d v="2014-08-14T18:20:08"/>
    <x v="1"/>
    <x v="3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x v="0"/>
    <n v="0"/>
    <x v="1"/>
    <s v="food/food trucks"/>
    <n v="0"/>
    <n v="0"/>
    <x v="7"/>
    <x v="19"/>
    <x v="1156"/>
    <d v="2015-02-24T01:42:42"/>
    <x v="1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x v="0"/>
    <n v="3"/>
    <x v="1"/>
    <s v="food/food trucks"/>
    <n v="2"/>
    <n v="50.33"/>
    <x v="7"/>
    <x v="19"/>
    <x v="1157"/>
    <d v="2014-12-05T16:04:40"/>
    <x v="27"/>
    <x v="3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x v="0"/>
    <n v="3"/>
    <x v="1"/>
    <s v="food/food trucks"/>
    <n v="0"/>
    <n v="11.67"/>
    <x v="7"/>
    <x v="19"/>
    <x v="1158"/>
    <d v="2014-12-09T02:12:08"/>
    <x v="1"/>
    <x v="3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x v="0"/>
    <n v="0"/>
    <x v="1"/>
    <s v="food/food trucks"/>
    <n v="0"/>
    <n v="0"/>
    <x v="7"/>
    <x v="19"/>
    <x v="1159"/>
    <d v="2015-06-30T15:45:00"/>
    <x v="362"/>
    <x v="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x v="0"/>
    <n v="19"/>
    <x v="1"/>
    <s v="food/food trucks"/>
    <n v="4"/>
    <n v="60.79"/>
    <x v="7"/>
    <x v="19"/>
    <x v="1160"/>
    <d v="2015-03-28T02:43:06"/>
    <x v="22"/>
    <x v="0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x v="0"/>
    <n v="0"/>
    <x v="1"/>
    <s v="food/food trucks"/>
    <n v="0"/>
    <n v="0"/>
    <x v="7"/>
    <x v="19"/>
    <x v="1161"/>
    <d v="2015-05-19T15:06:29"/>
    <x v="31"/>
    <x v="0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x v="0"/>
    <n v="2"/>
    <x v="1"/>
    <s v="food/food trucks"/>
    <n v="0"/>
    <n v="17.5"/>
    <x v="7"/>
    <x v="19"/>
    <x v="1162"/>
    <d v="2014-09-25T16:24:24"/>
    <x v="102"/>
    <x v="3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x v="0"/>
    <n v="0"/>
    <x v="1"/>
    <s v="food/food trucks"/>
    <n v="0"/>
    <n v="0"/>
    <x v="7"/>
    <x v="19"/>
    <x v="1163"/>
    <d v="2014-08-09T17:22:00"/>
    <x v="1"/>
    <x v="3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x v="0"/>
    <n v="0"/>
    <x v="1"/>
    <s v="food/food trucks"/>
    <n v="0"/>
    <n v="0"/>
    <x v="7"/>
    <x v="19"/>
    <x v="1164"/>
    <d v="2016-06-18T17:23:02"/>
    <x v="1"/>
    <x v="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x v="0"/>
    <n v="25"/>
    <x v="1"/>
    <s v="food/food trucks"/>
    <n v="21"/>
    <n v="82.82"/>
    <x v="7"/>
    <x v="19"/>
    <x v="1165"/>
    <d v="2014-07-06T05:08:50"/>
    <x v="322"/>
    <x v="3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x v="0"/>
    <n v="8"/>
    <x v="1"/>
    <s v="food/food trucks"/>
    <n v="19"/>
    <n v="358.88"/>
    <x v="7"/>
    <x v="19"/>
    <x v="1166"/>
    <d v="2015-06-26T04:00:00"/>
    <x v="363"/>
    <x v="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x v="0"/>
    <n v="16"/>
    <x v="1"/>
    <s v="food/food trucks"/>
    <n v="2"/>
    <n v="61.19"/>
    <x v="7"/>
    <x v="19"/>
    <x v="1167"/>
    <d v="2014-09-12T17:38:15"/>
    <x v="102"/>
    <x v="3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x v="0"/>
    <n v="3"/>
    <x v="1"/>
    <s v="food/food trucks"/>
    <n v="6"/>
    <n v="340"/>
    <x v="7"/>
    <x v="19"/>
    <x v="1168"/>
    <d v="2016-09-22T01:17:45"/>
    <x v="1"/>
    <x v="2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x v="0"/>
    <n v="3"/>
    <x v="1"/>
    <s v="food/food trucks"/>
    <n v="0"/>
    <n v="5.67"/>
    <x v="7"/>
    <x v="19"/>
    <x v="1169"/>
    <d v="2015-02-22T08:29:23"/>
    <x v="1"/>
    <x v="0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x v="0"/>
    <n v="2"/>
    <x v="1"/>
    <s v="food/food trucks"/>
    <n v="0"/>
    <n v="50"/>
    <x v="7"/>
    <x v="19"/>
    <x v="1170"/>
    <d v="2015-05-30T21:26:11"/>
    <x v="1"/>
    <x v="0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x v="0"/>
    <n v="1"/>
    <x v="1"/>
    <s v="food/food trucks"/>
    <n v="0"/>
    <n v="25"/>
    <x v="7"/>
    <x v="19"/>
    <x v="1171"/>
    <d v="2014-11-13T20:18:47"/>
    <x v="364"/>
    <x v="3"/>
  </r>
  <r>
    <x v="1172"/>
    <s v="let your dayz take you to the dogs."/>
    <s v="Bringing YOUR favorite dog recipes to the streets."/>
    <x v="7"/>
    <x v="117"/>
    <x v="2"/>
    <x v="0"/>
    <s v="USD"/>
    <n v="1408551752"/>
    <x v="1172"/>
    <x v="0"/>
    <n v="0"/>
    <x v="1"/>
    <s v="food/food trucks"/>
    <n v="0"/>
    <n v="0"/>
    <x v="7"/>
    <x v="19"/>
    <x v="1172"/>
    <d v="2014-08-20T16:22:32"/>
    <x v="1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x v="0"/>
    <n v="1"/>
    <x v="1"/>
    <s v="food/food trucks"/>
    <n v="0"/>
    <n v="30"/>
    <x v="7"/>
    <x v="19"/>
    <x v="1173"/>
    <d v="2015-08-03T04:27:37"/>
    <x v="6"/>
    <x v="0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x v="0"/>
    <n v="19"/>
    <x v="1"/>
    <s v="food/food trucks"/>
    <n v="6"/>
    <n v="46.63"/>
    <x v="7"/>
    <x v="19"/>
    <x v="1174"/>
    <d v="2016-05-08T20:12:07"/>
    <x v="1"/>
    <x v="2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x v="0"/>
    <n v="9"/>
    <x v="1"/>
    <s v="food/food trucks"/>
    <n v="3"/>
    <n v="65"/>
    <x v="7"/>
    <x v="19"/>
    <x v="1175"/>
    <d v="2015-07-15T17:28:59"/>
    <x v="1"/>
    <x v="0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x v="0"/>
    <n v="1"/>
    <x v="1"/>
    <s v="food/food trucks"/>
    <n v="0"/>
    <n v="10"/>
    <x v="7"/>
    <x v="19"/>
    <x v="1176"/>
    <d v="2017-03-06T13:00:00"/>
    <x v="365"/>
    <x v="1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x v="0"/>
    <n v="0"/>
    <x v="1"/>
    <s v="food/food trucks"/>
    <n v="0"/>
    <n v="0"/>
    <x v="7"/>
    <x v="19"/>
    <x v="1177"/>
    <d v="2014-10-15T15:51:36"/>
    <x v="1"/>
    <x v="3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x v="0"/>
    <n v="1"/>
    <x v="1"/>
    <s v="food/food trucks"/>
    <n v="0"/>
    <n v="5"/>
    <x v="7"/>
    <x v="19"/>
    <x v="1178"/>
    <d v="2014-08-16T21:44:12"/>
    <x v="1"/>
    <x v="3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x v="0"/>
    <n v="5"/>
    <x v="1"/>
    <s v="food/food trucks"/>
    <n v="5"/>
    <n v="640"/>
    <x v="7"/>
    <x v="19"/>
    <x v="1179"/>
    <d v="2015-10-28T17:17:07"/>
    <x v="1"/>
    <x v="0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x v="0"/>
    <n v="85"/>
    <x v="1"/>
    <s v="food/food trucks"/>
    <n v="12"/>
    <n v="69.12"/>
    <x v="7"/>
    <x v="19"/>
    <x v="1180"/>
    <d v="2014-06-28T19:21:54"/>
    <x v="127"/>
    <x v="3"/>
  </r>
  <r>
    <x v="1181"/>
    <s v="Gringo Loco Tacos Food Truck"/>
    <s v="Bringing the best tacos to the streets of Chicago!"/>
    <x v="63"/>
    <x v="460"/>
    <x v="2"/>
    <x v="0"/>
    <s v="USD"/>
    <n v="1425197321"/>
    <x v="1181"/>
    <x v="0"/>
    <n v="3"/>
    <x v="1"/>
    <s v="food/food trucks"/>
    <n v="0"/>
    <n v="1.33"/>
    <x v="7"/>
    <x v="19"/>
    <x v="1181"/>
    <d v="2015-03-01T08:08:41"/>
    <x v="1"/>
    <x v="0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x v="0"/>
    <n v="4"/>
    <x v="1"/>
    <s v="food/food trucks"/>
    <n v="4"/>
    <n v="10.5"/>
    <x v="7"/>
    <x v="19"/>
    <x v="1182"/>
    <d v="2017-01-12T16:42:00"/>
    <x v="366"/>
    <x v="2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x v="0"/>
    <n v="3"/>
    <x v="1"/>
    <s v="food/food trucks"/>
    <n v="4"/>
    <n v="33.33"/>
    <x v="7"/>
    <x v="19"/>
    <x v="1183"/>
    <d v="2016-11-02T03:59:00"/>
    <x v="367"/>
    <x v="2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x v="0"/>
    <n v="375"/>
    <x v="0"/>
    <s v="photography/photobooks"/>
    <n v="105"/>
    <n v="61.56"/>
    <x v="8"/>
    <x v="20"/>
    <x v="1184"/>
    <d v="2017-02-06T14:23:31"/>
    <x v="102"/>
    <x v="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x v="0"/>
    <n v="111"/>
    <x v="0"/>
    <s v="photography/photobooks"/>
    <n v="105"/>
    <n v="118.74"/>
    <x v="8"/>
    <x v="20"/>
    <x v="1185"/>
    <d v="2015-06-08T04:00:00"/>
    <x v="368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x v="0"/>
    <n v="123"/>
    <x v="0"/>
    <s v="photography/photobooks"/>
    <n v="107"/>
    <n v="65.08"/>
    <x v="8"/>
    <x v="20"/>
    <x v="1186"/>
    <d v="2015-06-01T22:42:00"/>
    <x v="369"/>
    <x v="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x v="0"/>
    <n v="70"/>
    <x v="0"/>
    <s v="photography/photobooks"/>
    <n v="104"/>
    <n v="130.16"/>
    <x v="8"/>
    <x v="20"/>
    <x v="1187"/>
    <d v="2015-05-17T18:00:00"/>
    <x v="370"/>
    <x v="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x v="0"/>
    <n v="85"/>
    <x v="0"/>
    <s v="photography/photobooks"/>
    <n v="161"/>
    <n v="37.78"/>
    <x v="8"/>
    <x v="20"/>
    <x v="1188"/>
    <d v="2016-12-28T16:49:00"/>
    <x v="31"/>
    <x v="2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x v="0"/>
    <n v="86"/>
    <x v="0"/>
    <s v="photography/photobooks"/>
    <n v="108"/>
    <n v="112.79"/>
    <x v="8"/>
    <x v="20"/>
    <x v="1189"/>
    <d v="2016-06-29T23:29:55"/>
    <x v="31"/>
    <x v="2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x v="0"/>
    <n v="13"/>
    <x v="0"/>
    <s v="photography/photobooks"/>
    <n v="135"/>
    <n v="51.92"/>
    <x v="8"/>
    <x v="20"/>
    <x v="1190"/>
    <d v="2014-08-31T15:58:45"/>
    <x v="1"/>
    <x v="3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x v="0"/>
    <n v="33"/>
    <x v="0"/>
    <s v="photography/photobooks"/>
    <n v="109"/>
    <n v="89.24"/>
    <x v="8"/>
    <x v="20"/>
    <x v="1191"/>
    <d v="2016-03-20T13:29:20"/>
    <x v="22"/>
    <x v="2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x v="0"/>
    <n v="15"/>
    <x v="0"/>
    <s v="photography/photobooks"/>
    <n v="290"/>
    <n v="19.329999999999998"/>
    <x v="8"/>
    <x v="20"/>
    <x v="1192"/>
    <d v="2017-02-11T12:09:38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x v="0"/>
    <n v="273"/>
    <x v="0"/>
    <s v="photography/photobooks"/>
    <n v="104"/>
    <n v="79.97"/>
    <x v="8"/>
    <x v="20"/>
    <x v="1193"/>
    <d v="2016-04-09T17:37:33"/>
    <x v="80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x v="0"/>
    <n v="714"/>
    <x v="0"/>
    <s v="photography/photobooks"/>
    <n v="322"/>
    <n v="56.41"/>
    <x v="8"/>
    <x v="20"/>
    <x v="1194"/>
    <d v="2015-04-08T11:42:59"/>
    <x v="1"/>
    <x v="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x v="0"/>
    <n v="170"/>
    <x v="0"/>
    <s v="photography/photobooks"/>
    <n v="135"/>
    <n v="79.41"/>
    <x v="8"/>
    <x v="20"/>
    <x v="1195"/>
    <d v="2015-12-20T09:00:00"/>
    <x v="371"/>
    <x v="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x v="0"/>
    <n v="512"/>
    <x v="0"/>
    <s v="photography/photobooks"/>
    <n v="270"/>
    <n v="76.44"/>
    <x v="8"/>
    <x v="20"/>
    <x v="1196"/>
    <d v="2015-12-18T19:38:59"/>
    <x v="1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x v="0"/>
    <n v="314"/>
    <x v="0"/>
    <s v="photography/photobooks"/>
    <n v="253"/>
    <n v="121"/>
    <x v="8"/>
    <x v="20"/>
    <x v="1197"/>
    <d v="2016-06-13T05:59:00"/>
    <x v="372"/>
    <x v="2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x v="0"/>
    <n v="167"/>
    <x v="0"/>
    <s v="photography/photobooks"/>
    <n v="261"/>
    <n v="54.62"/>
    <x v="8"/>
    <x v="20"/>
    <x v="1198"/>
    <d v="2015-12-31T03:00:00"/>
    <x v="373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x v="0"/>
    <n v="9"/>
    <x v="0"/>
    <s v="photography/photobooks"/>
    <n v="101"/>
    <n v="299.22000000000003"/>
    <x v="8"/>
    <x v="20"/>
    <x v="1199"/>
    <d v="2015-07-08T18:30:00"/>
    <x v="114"/>
    <x v="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x v="0"/>
    <n v="103"/>
    <x v="0"/>
    <s v="photography/photobooks"/>
    <n v="126"/>
    <n v="58.53"/>
    <x v="8"/>
    <x v="20"/>
    <x v="1200"/>
    <d v="2015-04-16T11:27:36"/>
    <x v="31"/>
    <x v="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x v="0"/>
    <n v="111"/>
    <x v="0"/>
    <s v="photography/photobooks"/>
    <n v="102"/>
    <n v="55.37"/>
    <x v="8"/>
    <x v="20"/>
    <x v="1201"/>
    <d v="2016-07-15T14:34:06"/>
    <x v="1"/>
    <x v="2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x v="0"/>
    <n v="271"/>
    <x v="0"/>
    <s v="photography/photobooks"/>
    <n v="199"/>
    <n v="183.8"/>
    <x v="8"/>
    <x v="20"/>
    <x v="1202"/>
    <d v="2015-06-27T06:55:54"/>
    <x v="1"/>
    <x v="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x v="0"/>
    <n v="101"/>
    <x v="0"/>
    <s v="photography/photobooks"/>
    <n v="102"/>
    <n v="165.35"/>
    <x v="8"/>
    <x v="20"/>
    <x v="1203"/>
    <d v="2015-05-31T14:45:27"/>
    <x v="1"/>
    <x v="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x v="0"/>
    <n v="57"/>
    <x v="0"/>
    <s v="photography/photobooks"/>
    <n v="103"/>
    <n v="234.79"/>
    <x v="8"/>
    <x v="20"/>
    <x v="1204"/>
    <d v="2015-12-04T05:00:00"/>
    <x v="374"/>
    <x v="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x v="0"/>
    <n v="62"/>
    <x v="0"/>
    <s v="photography/photobooks"/>
    <n v="101"/>
    <n v="211.48"/>
    <x v="8"/>
    <x v="20"/>
    <x v="1205"/>
    <d v="2015-06-13T12:09:11"/>
    <x v="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x v="0"/>
    <n v="32"/>
    <x v="0"/>
    <s v="photography/photobooks"/>
    <n v="115"/>
    <n v="32.340000000000003"/>
    <x v="8"/>
    <x v="20"/>
    <x v="1206"/>
    <d v="2017-03-11T13:29:00"/>
    <x v="375"/>
    <x v="1"/>
  </r>
  <r>
    <x v="1207"/>
    <s v="ITALIANA"/>
    <s v="A humanistic photo book about ancestral &amp; post-modern Italy."/>
    <x v="227"/>
    <x v="832"/>
    <x v="0"/>
    <x v="13"/>
    <s v="EUR"/>
    <n v="1459418400"/>
    <x v="1207"/>
    <x v="0"/>
    <n v="141"/>
    <x v="0"/>
    <s v="photography/photobooks"/>
    <n v="104"/>
    <n v="123.38"/>
    <x v="8"/>
    <x v="20"/>
    <x v="1207"/>
    <d v="2016-03-31T10:00:00"/>
    <x v="99"/>
    <x v="2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x v="0"/>
    <n v="75"/>
    <x v="0"/>
    <s v="photography/photobooks"/>
    <n v="155"/>
    <n v="207.07"/>
    <x v="8"/>
    <x v="20"/>
    <x v="1208"/>
    <d v="2016-03-24T16:01:04"/>
    <x v="22"/>
    <x v="2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x v="0"/>
    <n v="46"/>
    <x v="0"/>
    <s v="photography/photobooks"/>
    <n v="106"/>
    <n v="138.26"/>
    <x v="8"/>
    <x v="20"/>
    <x v="1209"/>
    <d v="2017-02-25T20:18:25"/>
    <x v="1"/>
    <x v="1"/>
  </r>
  <r>
    <x v="1210"/>
    <s v="Det Andra GÃ¶teborg"/>
    <s v="En fotobok om livet i det enda andra GÃ¶teborg i vÃ¤rlden"/>
    <x v="22"/>
    <x v="835"/>
    <x v="0"/>
    <x v="11"/>
    <s v="SEK"/>
    <n v="1433106000"/>
    <x v="1210"/>
    <x v="0"/>
    <n v="103"/>
    <x v="0"/>
    <s v="photography/photobooks"/>
    <n v="254"/>
    <n v="493.82"/>
    <x v="8"/>
    <x v="20"/>
    <x v="1210"/>
    <d v="2015-05-31T21:00:00"/>
    <x v="376"/>
    <x v="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x v="0"/>
    <n v="6"/>
    <x v="0"/>
    <s v="photography/photobooks"/>
    <n v="101"/>
    <n v="168.5"/>
    <x v="8"/>
    <x v="20"/>
    <x v="1211"/>
    <d v="2016-06-09T20:47:41"/>
    <x v="20"/>
    <x v="2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x v="0"/>
    <n v="83"/>
    <x v="0"/>
    <s v="photography/photobooks"/>
    <n v="129"/>
    <n v="38.869999999999997"/>
    <x v="8"/>
    <x v="20"/>
    <x v="1212"/>
    <d v="2015-11-27T01:00:00"/>
    <x v="377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x v="0"/>
    <n v="108"/>
    <x v="0"/>
    <s v="photography/photobooks"/>
    <n v="102"/>
    <n v="61.53"/>
    <x v="8"/>
    <x v="20"/>
    <x v="1213"/>
    <d v="2017-01-31T18:08:20"/>
    <x v="6"/>
    <x v="2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x v="0"/>
    <n v="25"/>
    <x v="0"/>
    <s v="photography/photobooks"/>
    <n v="132"/>
    <n v="105.44"/>
    <x v="8"/>
    <x v="20"/>
    <x v="1214"/>
    <d v="2015-06-09T20:10:05"/>
    <x v="14"/>
    <x v="0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x v="0"/>
    <n v="549"/>
    <x v="0"/>
    <s v="photography/photobooks"/>
    <n v="786"/>
    <n v="71.59"/>
    <x v="8"/>
    <x v="20"/>
    <x v="1215"/>
    <d v="2014-05-30T22:09:16"/>
    <x v="1"/>
    <x v="3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x v="1216"/>
    <x v="0"/>
    <n v="222"/>
    <x v="0"/>
    <s v="photography/photobooks"/>
    <n v="146"/>
    <n v="91.88"/>
    <x v="8"/>
    <x v="20"/>
    <x v="1216"/>
    <d v="2015-10-02T23:03:00"/>
    <x v="378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x v="0"/>
    <n v="183"/>
    <x v="0"/>
    <s v="photography/photobooks"/>
    <n v="103"/>
    <n v="148.57"/>
    <x v="8"/>
    <x v="20"/>
    <x v="1217"/>
    <d v="2016-07-14T19:25:40"/>
    <x v="1"/>
    <x v="2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x v="0"/>
    <n v="89"/>
    <x v="0"/>
    <s v="photography/photobooks"/>
    <n v="172"/>
    <n v="174.21"/>
    <x v="8"/>
    <x v="20"/>
    <x v="1218"/>
    <d v="2015-11-01T03:00:00"/>
    <x v="208"/>
    <x v="0"/>
  </r>
  <r>
    <x v="1219"/>
    <s v="The Box"/>
    <s v="The Box is a fine art book of Ron Amato's innovative and seductive photography project."/>
    <x v="229"/>
    <x v="843"/>
    <x v="0"/>
    <x v="0"/>
    <s v="USD"/>
    <n v="1476961513"/>
    <x v="1219"/>
    <x v="0"/>
    <n v="253"/>
    <x v="0"/>
    <s v="photography/photobooks"/>
    <n v="159"/>
    <n v="102.86"/>
    <x v="8"/>
    <x v="20"/>
    <x v="1219"/>
    <d v="2016-10-20T11:05:13"/>
    <x v="1"/>
    <x v="2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x v="0"/>
    <n v="140"/>
    <x v="0"/>
    <s v="photography/photobooks"/>
    <n v="104"/>
    <n v="111.18"/>
    <x v="8"/>
    <x v="20"/>
    <x v="1220"/>
    <d v="2015-08-25T15:05:12"/>
    <x v="1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x v="0"/>
    <n v="103"/>
    <x v="0"/>
    <s v="photography/photobooks"/>
    <n v="111"/>
    <n v="23.8"/>
    <x v="8"/>
    <x v="20"/>
    <x v="1221"/>
    <d v="2016-12-04T00:00:00"/>
    <x v="379"/>
    <x v="2"/>
  </r>
  <r>
    <x v="1222"/>
    <s v="Project Pilgrim"/>
    <s v="Project Pilgrim is my effort to work towards normalizing mental health."/>
    <x v="23"/>
    <x v="846"/>
    <x v="0"/>
    <x v="5"/>
    <s v="CAD"/>
    <n v="1459483200"/>
    <x v="1222"/>
    <x v="0"/>
    <n v="138"/>
    <x v="0"/>
    <s v="photography/photobooks"/>
    <n v="280"/>
    <n v="81.27"/>
    <x v="8"/>
    <x v="20"/>
    <x v="1222"/>
    <d v="2016-04-01T04:00:00"/>
    <x v="380"/>
    <x v="2"/>
  </r>
  <r>
    <x v="1223"/>
    <s v="YOSEMITE PEOPLE"/>
    <s v="A photography book focusing on the people rather than the nature at Yosemite National Park."/>
    <x v="230"/>
    <x v="847"/>
    <x v="0"/>
    <x v="0"/>
    <s v="USD"/>
    <n v="1478754909"/>
    <x v="1223"/>
    <x v="0"/>
    <n v="191"/>
    <x v="0"/>
    <s v="photography/photobooks"/>
    <n v="112"/>
    <n v="116.21"/>
    <x v="8"/>
    <x v="20"/>
    <x v="1223"/>
    <d v="2016-11-10T05:15:09"/>
    <x v="13"/>
    <x v="2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x v="0"/>
    <n v="18"/>
    <x v="1"/>
    <s v="music/world music"/>
    <n v="7"/>
    <n v="58.89"/>
    <x v="4"/>
    <x v="21"/>
    <x v="1224"/>
    <d v="2014-06-06T13:11:42"/>
    <x v="14"/>
    <x v="3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x v="0"/>
    <n v="3"/>
    <x v="1"/>
    <s v="music/world music"/>
    <n v="4"/>
    <n v="44"/>
    <x v="4"/>
    <x v="21"/>
    <x v="1225"/>
    <d v="2013-10-22T21:44:38"/>
    <x v="14"/>
    <x v="4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x v="0"/>
    <n v="40"/>
    <x v="1"/>
    <s v="music/world music"/>
    <n v="4"/>
    <n v="48.43"/>
    <x v="4"/>
    <x v="21"/>
    <x v="1226"/>
    <d v="2014-04-21T01:00:00"/>
    <x v="381"/>
    <x v="3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x v="0"/>
    <n v="0"/>
    <x v="1"/>
    <s v="music/world music"/>
    <n v="0"/>
    <n v="0"/>
    <x v="4"/>
    <x v="21"/>
    <x v="1227"/>
    <d v="2014-08-07T07:00:00"/>
    <x v="284"/>
    <x v="3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x v="0"/>
    <n v="24"/>
    <x v="1"/>
    <s v="music/world music"/>
    <n v="29"/>
    <n v="61.04"/>
    <x v="4"/>
    <x v="21"/>
    <x v="1228"/>
    <d v="2011-09-28T17:30:08"/>
    <x v="14"/>
    <x v="6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x v="0"/>
    <n v="1"/>
    <x v="1"/>
    <s v="music/world music"/>
    <n v="1"/>
    <n v="25"/>
    <x v="4"/>
    <x v="21"/>
    <x v="1229"/>
    <d v="2012-04-16T16:00:00"/>
    <x v="25"/>
    <x v="5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x v="0"/>
    <n v="0"/>
    <x v="1"/>
    <s v="music/world music"/>
    <n v="0"/>
    <n v="0"/>
    <x v="4"/>
    <x v="21"/>
    <x v="1230"/>
    <d v="2011-02-24T23:20:30"/>
    <x v="1"/>
    <x v="6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x v="0"/>
    <n v="0"/>
    <x v="1"/>
    <s v="music/world music"/>
    <n v="0"/>
    <n v="0"/>
    <x v="4"/>
    <x v="21"/>
    <x v="1231"/>
    <d v="2015-08-28T01:00:00"/>
    <x v="382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x v="0"/>
    <n v="1"/>
    <x v="1"/>
    <s v="music/world music"/>
    <n v="1"/>
    <n v="40"/>
    <x v="4"/>
    <x v="21"/>
    <x v="1232"/>
    <d v="2013-10-06T20:21:10"/>
    <x v="383"/>
    <x v="4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x v="0"/>
    <n v="6"/>
    <x v="1"/>
    <s v="music/world music"/>
    <n v="12"/>
    <n v="19.329999999999998"/>
    <x v="4"/>
    <x v="21"/>
    <x v="1233"/>
    <d v="2012-02-21T22:46:14"/>
    <x v="31"/>
    <x v="5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x v="0"/>
    <n v="0"/>
    <x v="1"/>
    <s v="music/world music"/>
    <n v="0"/>
    <n v="0"/>
    <x v="4"/>
    <x v="21"/>
    <x v="1234"/>
    <d v="2015-02-02T18:55:42"/>
    <x v="1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x v="0"/>
    <n v="6"/>
    <x v="1"/>
    <s v="music/world music"/>
    <n v="3"/>
    <n v="35"/>
    <x v="4"/>
    <x v="21"/>
    <x v="1235"/>
    <d v="2013-12-15T03:14:59"/>
    <x v="4"/>
    <x v="4"/>
  </r>
  <r>
    <x v="1236"/>
    <s v="&quot;Volando&quot; CD Release (Canceled)"/>
    <s v="Raising money to give the musicians their due."/>
    <x v="30"/>
    <x v="117"/>
    <x v="1"/>
    <x v="0"/>
    <s v="USD"/>
    <n v="1343491200"/>
    <x v="1236"/>
    <x v="0"/>
    <n v="0"/>
    <x v="1"/>
    <s v="music/world music"/>
    <n v="0"/>
    <n v="0"/>
    <x v="4"/>
    <x v="21"/>
    <x v="1236"/>
    <d v="2012-07-28T16:00:00"/>
    <x v="384"/>
    <x v="5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x v="0"/>
    <n v="0"/>
    <x v="1"/>
    <s v="music/world music"/>
    <n v="0"/>
    <n v="0"/>
    <x v="4"/>
    <x v="21"/>
    <x v="1237"/>
    <d v="2012-08-24T06:47:45"/>
    <x v="51"/>
    <x v="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x v="0"/>
    <n v="3"/>
    <x v="1"/>
    <s v="music/world music"/>
    <n v="18"/>
    <n v="59.33"/>
    <x v="4"/>
    <x v="21"/>
    <x v="1238"/>
    <d v="2011-08-06T14:38:56"/>
    <x v="1"/>
    <x v="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x v="1239"/>
    <x v="0"/>
    <n v="0"/>
    <x v="1"/>
    <s v="music/world music"/>
    <n v="0"/>
    <n v="0"/>
    <x v="4"/>
    <x v="21"/>
    <x v="1239"/>
    <d v="2012-01-05T23:06:07"/>
    <x v="1"/>
    <x v="6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x v="0"/>
    <n v="8"/>
    <x v="1"/>
    <s v="music/world music"/>
    <n v="3"/>
    <n v="30.13"/>
    <x v="4"/>
    <x v="21"/>
    <x v="1240"/>
    <d v="2013-07-12T21:51:00"/>
    <x v="385"/>
    <x v="4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x v="0"/>
    <n v="34"/>
    <x v="1"/>
    <s v="music/world music"/>
    <n v="51"/>
    <n v="74.62"/>
    <x v="4"/>
    <x v="21"/>
    <x v="1241"/>
    <d v="2014-11-03T05:59:00"/>
    <x v="386"/>
    <x v="3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x v="0"/>
    <n v="1"/>
    <x v="1"/>
    <s v="music/world music"/>
    <n v="1"/>
    <n v="5"/>
    <x v="4"/>
    <x v="21"/>
    <x v="1242"/>
    <d v="2011-09-11T13:18:00"/>
    <x v="387"/>
    <x v="6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x v="0"/>
    <n v="38"/>
    <x v="1"/>
    <s v="music/world music"/>
    <n v="14"/>
    <n v="44.5"/>
    <x v="4"/>
    <x v="21"/>
    <x v="1243"/>
    <d v="2011-07-08T21:00:00"/>
    <x v="48"/>
    <x v="6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x v="1"/>
    <n v="45"/>
    <x v="0"/>
    <s v="music/rock"/>
    <n v="104"/>
    <n v="46.13"/>
    <x v="4"/>
    <x v="11"/>
    <x v="1244"/>
    <d v="2013-04-22T21:00:00"/>
    <x v="388"/>
    <x v="4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x v="1"/>
    <n v="17"/>
    <x v="0"/>
    <s v="music/rock"/>
    <n v="120"/>
    <n v="141.47"/>
    <x v="4"/>
    <x v="11"/>
    <x v="1245"/>
    <d v="2014-06-14T14:23:54"/>
    <x v="1"/>
    <x v="3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x v="1"/>
    <n v="31"/>
    <x v="0"/>
    <s v="music/rock"/>
    <n v="117"/>
    <n v="75.48"/>
    <x v="4"/>
    <x v="11"/>
    <x v="1246"/>
    <d v="2011-12-06T02:02:29"/>
    <x v="71"/>
    <x v="6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x v="1"/>
    <n v="50"/>
    <x v="0"/>
    <s v="music/rock"/>
    <n v="122"/>
    <n v="85.5"/>
    <x v="4"/>
    <x v="11"/>
    <x v="1247"/>
    <d v="2013-05-06T07:00:55"/>
    <x v="1"/>
    <x v="4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x v="1"/>
    <n v="59"/>
    <x v="0"/>
    <s v="music/rock"/>
    <n v="152"/>
    <n v="64.25"/>
    <x v="4"/>
    <x v="11"/>
    <x v="1248"/>
    <d v="2014-06-13T06:59:00"/>
    <x v="389"/>
    <x v="3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x v="1"/>
    <n v="81"/>
    <x v="0"/>
    <s v="music/rock"/>
    <n v="104"/>
    <n v="64.47"/>
    <x v="4"/>
    <x v="11"/>
    <x v="1249"/>
    <d v="2012-07-07T17:46:51"/>
    <x v="1"/>
    <x v="5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x v="1"/>
    <n v="508"/>
    <x v="0"/>
    <s v="music/rock"/>
    <n v="200"/>
    <n v="118.2"/>
    <x v="4"/>
    <x v="11"/>
    <x v="1250"/>
    <d v="2014-09-06T15:25:31"/>
    <x v="26"/>
    <x v="3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x v="1"/>
    <n v="74"/>
    <x v="0"/>
    <s v="music/rock"/>
    <n v="102"/>
    <n v="82.54"/>
    <x v="4"/>
    <x v="11"/>
    <x v="1251"/>
    <d v="2011-09-25T19:32:47"/>
    <x v="14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x v="1"/>
    <n v="141"/>
    <x v="0"/>
    <s v="music/rock"/>
    <n v="138"/>
    <n v="34.17"/>
    <x v="4"/>
    <x v="11"/>
    <x v="1252"/>
    <d v="2013-10-24T23:42:49"/>
    <x v="240"/>
    <x v="4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x v="1"/>
    <n v="711"/>
    <x v="0"/>
    <s v="music/rock"/>
    <n v="303833"/>
    <n v="42.73"/>
    <x v="4"/>
    <x v="11"/>
    <x v="1253"/>
    <d v="2014-09-03T18:48:27"/>
    <x v="1"/>
    <x v="3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x v="1"/>
    <n v="141"/>
    <x v="0"/>
    <s v="music/rock"/>
    <n v="199"/>
    <n v="94.49"/>
    <x v="4"/>
    <x v="11"/>
    <x v="1254"/>
    <d v="2011-01-01T04:59:00"/>
    <x v="390"/>
    <x v="7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x v="1"/>
    <n v="109"/>
    <x v="0"/>
    <s v="music/rock"/>
    <n v="202"/>
    <n v="55.7"/>
    <x v="4"/>
    <x v="11"/>
    <x v="1255"/>
    <d v="2013-12-01T21:17:32"/>
    <x v="13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x v="1"/>
    <n v="361"/>
    <x v="0"/>
    <s v="music/rock"/>
    <n v="118"/>
    <n v="98.03"/>
    <x v="4"/>
    <x v="11"/>
    <x v="1256"/>
    <d v="2012-02-12T22:03:51"/>
    <x v="1"/>
    <x v="5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x v="1"/>
    <n v="176"/>
    <x v="0"/>
    <s v="music/rock"/>
    <n v="295"/>
    <n v="92.1"/>
    <x v="4"/>
    <x v="11"/>
    <x v="1257"/>
    <d v="2011-04-03T01:03:10"/>
    <x v="391"/>
    <x v="6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x v="1"/>
    <n v="670"/>
    <x v="0"/>
    <s v="music/rock"/>
    <n v="213"/>
    <n v="38.18"/>
    <x v="4"/>
    <x v="11"/>
    <x v="1258"/>
    <d v="2013-08-31T14:40:12"/>
    <x v="1"/>
    <x v="4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x v="1"/>
    <n v="96"/>
    <x v="0"/>
    <s v="music/rock"/>
    <n v="104"/>
    <n v="27.15"/>
    <x v="4"/>
    <x v="11"/>
    <x v="1259"/>
    <d v="2014-06-09T03:59:00"/>
    <x v="392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x v="1"/>
    <n v="74"/>
    <x v="0"/>
    <s v="music/rock"/>
    <n v="114"/>
    <n v="50.69"/>
    <x v="4"/>
    <x v="11"/>
    <x v="1260"/>
    <d v="2014-02-26T20:13:40"/>
    <x v="1"/>
    <x v="3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x v="1"/>
    <n v="52"/>
    <x v="0"/>
    <s v="music/rock"/>
    <n v="101"/>
    <n v="38.94"/>
    <x v="4"/>
    <x v="11"/>
    <x v="1261"/>
    <d v="2014-01-29T08:13:47"/>
    <x v="1"/>
    <x v="4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x v="1"/>
    <n v="105"/>
    <x v="0"/>
    <s v="music/rock"/>
    <n v="125"/>
    <n v="77.64"/>
    <x v="4"/>
    <x v="11"/>
    <x v="1262"/>
    <d v="2014-02-16T18:18:12"/>
    <x v="1"/>
    <x v="3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x v="1"/>
    <n v="41"/>
    <x v="0"/>
    <s v="music/rock"/>
    <n v="119"/>
    <n v="43.54"/>
    <x v="4"/>
    <x v="11"/>
    <x v="1263"/>
    <d v="2014-03-29T01:00:00"/>
    <x v="89"/>
    <x v="3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x v="1"/>
    <n v="34"/>
    <x v="0"/>
    <s v="music/rock"/>
    <n v="166"/>
    <n v="31.82"/>
    <x v="4"/>
    <x v="11"/>
    <x v="1264"/>
    <d v="2013-10-29T15:54:43"/>
    <x v="229"/>
    <x v="4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x v="1"/>
    <n v="66"/>
    <x v="0"/>
    <s v="music/rock"/>
    <n v="119"/>
    <n v="63.18"/>
    <x v="4"/>
    <x v="11"/>
    <x v="1265"/>
    <d v="2010-11-30T15:43:35"/>
    <x v="383"/>
    <x v="7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x v="1"/>
    <n v="50"/>
    <x v="0"/>
    <s v="music/rock"/>
    <n v="100"/>
    <n v="190.9"/>
    <x v="4"/>
    <x v="11"/>
    <x v="1266"/>
    <d v="2014-01-11T21:02:25"/>
    <x v="1"/>
    <x v="4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x v="1"/>
    <n v="159"/>
    <x v="0"/>
    <s v="music/rock"/>
    <n v="102"/>
    <n v="140.86000000000001"/>
    <x v="4"/>
    <x v="11"/>
    <x v="1267"/>
    <d v="2013-07-24T14:02:38"/>
    <x v="1"/>
    <x v="4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x v="1"/>
    <n v="182"/>
    <x v="0"/>
    <s v="music/rock"/>
    <n v="117"/>
    <n v="76.92"/>
    <x v="4"/>
    <x v="11"/>
    <x v="1268"/>
    <d v="2013-09-20T20:17:27"/>
    <x v="1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x v="1"/>
    <n v="206"/>
    <x v="0"/>
    <s v="music/rock"/>
    <n v="109"/>
    <n v="99.16"/>
    <x v="4"/>
    <x v="11"/>
    <x v="1269"/>
    <d v="2016-04-16T00:00:00"/>
    <x v="301"/>
    <x v="2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x v="1"/>
    <n v="169"/>
    <x v="0"/>
    <s v="music/rock"/>
    <n v="115"/>
    <n v="67.88"/>
    <x v="4"/>
    <x v="11"/>
    <x v="1270"/>
    <d v="2012-03-25T19:34:02"/>
    <x v="80"/>
    <x v="5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x v="1"/>
    <n v="31"/>
    <x v="0"/>
    <s v="music/rock"/>
    <n v="102"/>
    <n v="246.29"/>
    <x v="4"/>
    <x v="11"/>
    <x v="1271"/>
    <d v="2013-11-13T17:24:19"/>
    <x v="13"/>
    <x v="4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x v="1"/>
    <n v="28"/>
    <x v="0"/>
    <s v="music/rock"/>
    <n v="106"/>
    <n v="189.29"/>
    <x v="4"/>
    <x v="11"/>
    <x v="1272"/>
    <d v="2010-06-15T04:00:00"/>
    <x v="393"/>
    <x v="7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x v="1"/>
    <n v="54"/>
    <x v="0"/>
    <s v="music/rock"/>
    <n v="104"/>
    <n v="76.67"/>
    <x v="4"/>
    <x v="11"/>
    <x v="1273"/>
    <d v="2014-08-31T17:31:31"/>
    <x v="1"/>
    <x v="3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x v="1"/>
    <n v="467"/>
    <x v="0"/>
    <s v="music/rock"/>
    <n v="155"/>
    <n v="82.96"/>
    <x v="4"/>
    <x v="11"/>
    <x v="1274"/>
    <d v="2012-08-30T16:33:45"/>
    <x v="6"/>
    <x v="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x v="1"/>
    <n v="389"/>
    <x v="0"/>
    <s v="music/rock"/>
    <n v="162"/>
    <n v="62.52"/>
    <x v="4"/>
    <x v="11"/>
    <x v="1275"/>
    <d v="2013-08-07T20:49:47"/>
    <x v="6"/>
    <x v="4"/>
  </r>
  <r>
    <x v="1276"/>
    <s v="MR. DREAM GOES TO JAIL"/>
    <s v="Sponsor this Brooklyn punk band's debut seven-inch, MR. DREAM GOES TO JAIL."/>
    <x v="9"/>
    <x v="887"/>
    <x v="0"/>
    <x v="0"/>
    <s v="USD"/>
    <n v="1251777600"/>
    <x v="1276"/>
    <x v="1"/>
    <n v="68"/>
    <x v="0"/>
    <s v="music/rock"/>
    <n v="104"/>
    <n v="46.07"/>
    <x v="4"/>
    <x v="11"/>
    <x v="1276"/>
    <d v="2009-09-01T04:00:00"/>
    <x v="394"/>
    <x v="8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x v="1"/>
    <n v="413"/>
    <x v="0"/>
    <s v="music/rock"/>
    <n v="106"/>
    <n v="38.54"/>
    <x v="4"/>
    <x v="11"/>
    <x v="1277"/>
    <d v="2012-09-04T13:29:07"/>
    <x v="6"/>
    <x v="5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x v="1"/>
    <n v="190"/>
    <x v="0"/>
    <s v="music/rock"/>
    <n v="155"/>
    <n v="53.01"/>
    <x v="4"/>
    <x v="11"/>
    <x v="1278"/>
    <d v="2014-06-25T02:00:00"/>
    <x v="395"/>
    <x v="3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x v="1"/>
    <n v="189"/>
    <x v="0"/>
    <s v="music/rock"/>
    <n v="111"/>
    <n v="73.36"/>
    <x v="4"/>
    <x v="11"/>
    <x v="1279"/>
    <d v="2014-03-24T01:22:50"/>
    <x v="136"/>
    <x v="3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x v="1"/>
    <n v="130"/>
    <x v="0"/>
    <s v="music/rock"/>
    <n v="111"/>
    <n v="127.98"/>
    <x v="4"/>
    <x v="11"/>
    <x v="1280"/>
    <d v="2011-03-01T18:10:54"/>
    <x v="396"/>
    <x v="7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x v="1"/>
    <n v="74"/>
    <x v="0"/>
    <s v="music/rock"/>
    <n v="111"/>
    <n v="104.73"/>
    <x v="4"/>
    <x v="11"/>
    <x v="1281"/>
    <d v="2013-07-28T17:50:36"/>
    <x v="51"/>
    <x v="4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x v="1"/>
    <n v="274"/>
    <x v="0"/>
    <s v="music/rock"/>
    <n v="124"/>
    <n v="67.67"/>
    <x v="4"/>
    <x v="11"/>
    <x v="1282"/>
    <d v="2013-12-09T04:59:00"/>
    <x v="397"/>
    <x v="4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x v="1"/>
    <n v="22"/>
    <x v="0"/>
    <s v="music/rock"/>
    <n v="211"/>
    <n v="95.93"/>
    <x v="4"/>
    <x v="11"/>
    <x v="1283"/>
    <d v="2013-03-11T04:00:00"/>
    <x v="398"/>
    <x v="4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x v="0"/>
    <n v="31"/>
    <x v="0"/>
    <s v="theater/plays"/>
    <n v="101"/>
    <n v="65.16"/>
    <x v="1"/>
    <x v="6"/>
    <x v="1284"/>
    <d v="2016-12-31T16:59:00"/>
    <x v="399"/>
    <x v="2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x v="0"/>
    <n v="63"/>
    <x v="0"/>
    <s v="theater/plays"/>
    <n v="102"/>
    <n v="32.270000000000003"/>
    <x v="1"/>
    <x v="6"/>
    <x v="1285"/>
    <d v="2015-06-20T13:59:35"/>
    <x v="20"/>
    <x v="0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x v="0"/>
    <n v="20"/>
    <x v="0"/>
    <s v="theater/plays"/>
    <n v="108"/>
    <n v="81.25"/>
    <x v="1"/>
    <x v="6"/>
    <x v="1286"/>
    <d v="2015-02-17T14:00:00"/>
    <x v="400"/>
    <x v="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x v="0"/>
    <n v="25"/>
    <x v="0"/>
    <s v="theater/plays"/>
    <n v="242"/>
    <n v="24.2"/>
    <x v="1"/>
    <x v="6"/>
    <x v="1287"/>
    <d v="2015-06-12T14:54:16"/>
    <x v="14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x v="0"/>
    <n v="61"/>
    <x v="0"/>
    <s v="theater/plays"/>
    <n v="100"/>
    <n v="65.87"/>
    <x v="1"/>
    <x v="6"/>
    <x v="1288"/>
    <d v="2016-08-10T04:00:00"/>
    <x v="401"/>
    <x v="2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x v="0"/>
    <n v="52"/>
    <x v="0"/>
    <s v="theater/plays"/>
    <n v="125"/>
    <n v="36.08"/>
    <x v="1"/>
    <x v="6"/>
    <x v="1289"/>
    <d v="2017-01-04T03:14:05"/>
    <x v="1"/>
    <x v="2"/>
  </r>
  <r>
    <x v="1290"/>
    <s v="I Died... I Came Back, ... Whatever"/>
    <s v="Sometimes your Heart has to STOP for your Life to START."/>
    <x v="8"/>
    <x v="900"/>
    <x v="0"/>
    <x v="0"/>
    <s v="USD"/>
    <n v="1429772340"/>
    <x v="1290"/>
    <x v="0"/>
    <n v="86"/>
    <x v="0"/>
    <s v="theater/plays"/>
    <n v="109"/>
    <n v="44.19"/>
    <x v="1"/>
    <x v="6"/>
    <x v="1290"/>
    <d v="2015-04-23T06:59:00"/>
    <x v="363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x v="0"/>
    <n v="42"/>
    <x v="0"/>
    <s v="theater/plays"/>
    <n v="146"/>
    <n v="104.07"/>
    <x v="1"/>
    <x v="6"/>
    <x v="1291"/>
    <d v="2015-04-07T07:00:00"/>
    <x v="402"/>
    <x v="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x v="0"/>
    <n v="52"/>
    <x v="0"/>
    <s v="theater/plays"/>
    <n v="110"/>
    <n v="35.96"/>
    <x v="1"/>
    <x v="6"/>
    <x v="1292"/>
    <d v="2015-10-06T22:59:00"/>
    <x v="403"/>
    <x v="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x v="0"/>
    <n v="120"/>
    <x v="0"/>
    <s v="theater/plays"/>
    <n v="102"/>
    <n v="127.79"/>
    <x v="1"/>
    <x v="6"/>
    <x v="1293"/>
    <d v="2015-11-14T17:49:31"/>
    <x v="13"/>
    <x v="0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x v="0"/>
    <n v="22"/>
    <x v="0"/>
    <s v="theater/plays"/>
    <n v="122"/>
    <n v="27.73"/>
    <x v="1"/>
    <x v="6"/>
    <x v="1294"/>
    <d v="2015-10-19T11:00:00"/>
    <x v="18"/>
    <x v="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x v="0"/>
    <n v="64"/>
    <x v="0"/>
    <s v="theater/plays"/>
    <n v="102"/>
    <n v="39.83"/>
    <x v="1"/>
    <x v="6"/>
    <x v="1295"/>
    <d v="2015-07-29T17:00:00"/>
    <x v="404"/>
    <x v="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x v="0"/>
    <n v="23"/>
    <x v="0"/>
    <s v="theater/plays"/>
    <n v="141"/>
    <n v="52.17"/>
    <x v="1"/>
    <x v="6"/>
    <x v="1296"/>
    <d v="2016-03-14T00:12:53"/>
    <x v="138"/>
    <x v="2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x v="0"/>
    <n v="238"/>
    <x v="0"/>
    <s v="theater/plays"/>
    <n v="110"/>
    <n v="92.04"/>
    <x v="1"/>
    <x v="6"/>
    <x v="1297"/>
    <d v="2016-05-01T17:55:58"/>
    <x v="1"/>
    <x v="2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x v="0"/>
    <n v="33"/>
    <x v="0"/>
    <s v="theater/plays"/>
    <n v="105"/>
    <n v="63.42"/>
    <x v="1"/>
    <x v="6"/>
    <x v="1298"/>
    <d v="2016-04-28T16:20:32"/>
    <x v="1"/>
    <x v="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x v="0"/>
    <n v="32"/>
    <x v="0"/>
    <s v="theater/plays"/>
    <n v="124"/>
    <n v="135.63"/>
    <x v="1"/>
    <x v="6"/>
    <x v="1299"/>
    <d v="2015-07-14T19:32:39"/>
    <x v="1"/>
    <x v="0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x v="0"/>
    <n v="24"/>
    <x v="0"/>
    <s v="theater/plays"/>
    <n v="135"/>
    <n v="168.75"/>
    <x v="1"/>
    <x v="6"/>
    <x v="1300"/>
    <d v="2016-06-01T18:57:00"/>
    <x v="405"/>
    <x v="2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x v="0"/>
    <n v="29"/>
    <x v="0"/>
    <s v="theater/plays"/>
    <n v="103"/>
    <n v="70.86"/>
    <x v="1"/>
    <x v="6"/>
    <x v="1301"/>
    <d v="2015-07-21T03:00:00"/>
    <x v="406"/>
    <x v="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x v="0"/>
    <n v="50"/>
    <x v="0"/>
    <s v="theater/plays"/>
    <n v="100"/>
    <n v="50"/>
    <x v="1"/>
    <x v="6"/>
    <x v="1302"/>
    <d v="2016-12-01T02:23:31"/>
    <x v="13"/>
    <x v="2"/>
  </r>
  <r>
    <x v="1303"/>
    <s v="Forward Arena Theatre Company: Summer Season"/>
    <s v="Groundbreaking queer theatre."/>
    <x v="8"/>
    <x v="912"/>
    <x v="0"/>
    <x v="1"/>
    <s v="GBP"/>
    <n v="1469962800"/>
    <x v="1303"/>
    <x v="0"/>
    <n v="108"/>
    <x v="0"/>
    <s v="theater/plays"/>
    <n v="130"/>
    <n v="42.21"/>
    <x v="1"/>
    <x v="6"/>
    <x v="1303"/>
    <d v="2016-07-31T11:00:00"/>
    <x v="407"/>
    <x v="2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x v="0"/>
    <n v="104"/>
    <x v="1"/>
    <s v="technology/wearables"/>
    <n v="40"/>
    <n v="152.41"/>
    <x v="2"/>
    <x v="8"/>
    <x v="1304"/>
    <d v="2017-03-13T03:40:05"/>
    <x v="80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x v="0"/>
    <n v="86"/>
    <x v="1"/>
    <s v="technology/wearables"/>
    <n v="26"/>
    <n v="90.62"/>
    <x v="2"/>
    <x v="8"/>
    <x v="1305"/>
    <d v="2016-07-21T17:30:00"/>
    <x v="408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x v="0"/>
    <n v="356"/>
    <x v="1"/>
    <s v="technology/wearables"/>
    <n v="65"/>
    <n v="201.6"/>
    <x v="2"/>
    <x v="8"/>
    <x v="1306"/>
    <d v="2014-12-04T10:58:54"/>
    <x v="1"/>
    <x v="3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x v="1307"/>
    <x v="0"/>
    <n v="45"/>
    <x v="1"/>
    <s v="technology/wearables"/>
    <n v="12"/>
    <n v="127.93"/>
    <x v="2"/>
    <x v="8"/>
    <x v="1307"/>
    <d v="2016-02-17T12:04:39"/>
    <x v="1"/>
    <x v="2"/>
  </r>
  <r>
    <x v="1308"/>
    <s v="Boost Band: Wristband Phone Charger (Canceled)"/>
    <s v="Boost Band, a wristband that charges any device"/>
    <x v="3"/>
    <x v="917"/>
    <x v="1"/>
    <x v="0"/>
    <s v="USD"/>
    <n v="1475937812"/>
    <x v="1308"/>
    <x v="0"/>
    <n v="38"/>
    <x v="1"/>
    <s v="technology/wearables"/>
    <n v="11"/>
    <n v="29.89"/>
    <x v="2"/>
    <x v="8"/>
    <x v="1308"/>
    <d v="2016-10-08T14:43:32"/>
    <x v="4"/>
    <x v="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x v="0"/>
    <n v="35"/>
    <x v="1"/>
    <s v="technology/wearables"/>
    <n v="112"/>
    <n v="367.97"/>
    <x v="2"/>
    <x v="8"/>
    <x v="1309"/>
    <d v="2015-10-15T21:11:08"/>
    <x v="6"/>
    <x v="0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x v="0"/>
    <n v="24"/>
    <x v="1"/>
    <s v="technology/wearables"/>
    <n v="16"/>
    <n v="129.16999999999999"/>
    <x v="2"/>
    <x v="8"/>
    <x v="1310"/>
    <d v="2016-08-19T16:00:50"/>
    <x v="26"/>
    <x v="2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x v="0"/>
    <n v="100"/>
    <x v="1"/>
    <s v="technology/wearables"/>
    <n v="32"/>
    <n v="800.7"/>
    <x v="2"/>
    <x v="8"/>
    <x v="1311"/>
    <d v="2016-11-30T20:15:19"/>
    <x v="145"/>
    <x v="2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x v="0"/>
    <n v="1"/>
    <x v="1"/>
    <s v="technology/wearables"/>
    <n v="1"/>
    <n v="28"/>
    <x v="2"/>
    <x v="8"/>
    <x v="1312"/>
    <d v="2015-04-18T16:52:02"/>
    <x v="1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x v="0"/>
    <n v="122"/>
    <x v="1"/>
    <s v="technology/wearables"/>
    <n v="31"/>
    <n v="102.02"/>
    <x v="2"/>
    <x v="8"/>
    <x v="1313"/>
    <d v="2016-03-03T17:01:54"/>
    <x v="1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x v="0"/>
    <n v="11"/>
    <x v="1"/>
    <s v="technology/wearables"/>
    <n v="1"/>
    <n v="184.36"/>
    <x v="2"/>
    <x v="8"/>
    <x v="1314"/>
    <d v="2016-10-21T16:04:20"/>
    <x v="14"/>
    <x v="2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x v="0"/>
    <n v="248"/>
    <x v="1"/>
    <s v="technology/wearables"/>
    <n v="40"/>
    <n v="162.91999999999999"/>
    <x v="2"/>
    <x v="8"/>
    <x v="1315"/>
    <d v="2015-11-06T01:00:00"/>
    <x v="409"/>
    <x v="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x v="0"/>
    <n v="1"/>
    <x v="1"/>
    <s v="technology/wearables"/>
    <n v="0"/>
    <n v="1"/>
    <x v="2"/>
    <x v="8"/>
    <x v="1316"/>
    <d v="2016-02-28T23:05:09"/>
    <x v="6"/>
    <x v="2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x v="0"/>
    <n v="19"/>
    <x v="1"/>
    <s v="technology/wearables"/>
    <n v="6"/>
    <n v="603.53"/>
    <x v="2"/>
    <x v="8"/>
    <x v="1317"/>
    <d v="2016-07-21T14:00:00"/>
    <x v="410"/>
    <x v="2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x v="0"/>
    <n v="135"/>
    <x v="1"/>
    <s v="technology/wearables"/>
    <n v="15"/>
    <n v="45.41"/>
    <x v="2"/>
    <x v="8"/>
    <x v="1318"/>
    <d v="2015-01-11T01:02:52"/>
    <x v="1"/>
    <x v="3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x v="0"/>
    <n v="9"/>
    <x v="1"/>
    <s v="technology/wearables"/>
    <n v="15"/>
    <n v="97.33"/>
    <x v="2"/>
    <x v="8"/>
    <x v="1319"/>
    <d v="2014-07-11T16:00:00"/>
    <x v="411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x v="0"/>
    <n v="3"/>
    <x v="1"/>
    <s v="technology/wearables"/>
    <n v="1"/>
    <n v="167.67"/>
    <x v="2"/>
    <x v="8"/>
    <x v="1320"/>
    <d v="2016-12-30T23:00:00"/>
    <x v="412"/>
    <x v="2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x v="0"/>
    <n v="7"/>
    <x v="1"/>
    <s v="technology/wearables"/>
    <n v="1"/>
    <n v="859.86"/>
    <x v="2"/>
    <x v="8"/>
    <x v="1321"/>
    <d v="2016-12-23T17:58:57"/>
    <x v="1"/>
    <x v="2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x v="0"/>
    <n v="4"/>
    <x v="1"/>
    <s v="technology/wearables"/>
    <n v="0"/>
    <n v="26.5"/>
    <x v="2"/>
    <x v="8"/>
    <x v="1322"/>
    <d v="2015-05-21T15:45:25"/>
    <x v="1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x v="0"/>
    <n v="44"/>
    <x v="1"/>
    <s v="technology/wearables"/>
    <n v="9"/>
    <n v="30.27"/>
    <x v="2"/>
    <x v="8"/>
    <x v="1323"/>
    <d v="2016-04-26T06:55:00"/>
    <x v="413"/>
    <x v="2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x v="0"/>
    <n v="90"/>
    <x v="1"/>
    <s v="technology/wearables"/>
    <n v="10"/>
    <n v="54.67"/>
    <x v="2"/>
    <x v="8"/>
    <x v="1324"/>
    <d v="2016-10-13T15:12:32"/>
    <x v="1"/>
    <x v="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x v="0"/>
    <n v="8"/>
    <x v="1"/>
    <s v="technology/wearables"/>
    <n v="2"/>
    <n v="60.75"/>
    <x v="2"/>
    <x v="8"/>
    <x v="1325"/>
    <d v="2016-12-30T02:03:55"/>
    <x v="1"/>
    <x v="2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x v="0"/>
    <n v="11"/>
    <x v="1"/>
    <s v="technology/wearables"/>
    <n v="1"/>
    <n v="102.73"/>
    <x v="2"/>
    <x v="8"/>
    <x v="1326"/>
    <d v="2015-01-15T19:00:28"/>
    <x v="26"/>
    <x v="3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x v="0"/>
    <n v="41"/>
    <x v="1"/>
    <s v="technology/wearables"/>
    <n v="4"/>
    <n v="41.59"/>
    <x v="2"/>
    <x v="8"/>
    <x v="1327"/>
    <d v="2015-05-29T16:17:15"/>
    <x v="1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x v="0"/>
    <n v="15"/>
    <x v="1"/>
    <s v="technology/wearables"/>
    <n v="2"/>
    <n v="116.53"/>
    <x v="2"/>
    <x v="8"/>
    <x v="1328"/>
    <d v="2016-10-14T15:25:34"/>
    <x v="26"/>
    <x v="2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x v="0"/>
    <n v="9"/>
    <x v="1"/>
    <s v="technology/wearables"/>
    <n v="1"/>
    <n v="45.33"/>
    <x v="2"/>
    <x v="8"/>
    <x v="1329"/>
    <d v="2014-12-02T06:19:05"/>
    <x v="182"/>
    <x v="3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x v="0"/>
    <n v="50"/>
    <x v="1"/>
    <s v="technology/wearables"/>
    <n v="22"/>
    <n v="157.46"/>
    <x v="2"/>
    <x v="8"/>
    <x v="1330"/>
    <d v="2016-07-02T04:00:00"/>
    <x v="130"/>
    <x v="2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x v="0"/>
    <n v="34"/>
    <x v="1"/>
    <s v="technology/wearables"/>
    <n v="1"/>
    <n v="100.5"/>
    <x v="2"/>
    <x v="8"/>
    <x v="1331"/>
    <d v="2016-08-17T12:05:54"/>
    <x v="1"/>
    <x v="2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x v="0"/>
    <n v="0"/>
    <x v="1"/>
    <s v="technology/wearables"/>
    <n v="0"/>
    <n v="0"/>
    <x v="2"/>
    <x v="8"/>
    <x v="1332"/>
    <d v="2017-01-27T01:26:48"/>
    <x v="1"/>
    <x v="2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x v="0"/>
    <n v="0"/>
    <x v="1"/>
    <s v="technology/wearables"/>
    <n v="0"/>
    <n v="0"/>
    <x v="2"/>
    <x v="8"/>
    <x v="1333"/>
    <d v="2014-07-16T02:33:45"/>
    <x v="1"/>
    <x v="3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x v="0"/>
    <n v="276"/>
    <x v="1"/>
    <s v="technology/wearables"/>
    <n v="11"/>
    <n v="51.82"/>
    <x v="2"/>
    <x v="8"/>
    <x v="1334"/>
    <d v="2016-03-11T18:34:47"/>
    <x v="1"/>
    <x v="2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x v="0"/>
    <n v="16"/>
    <x v="1"/>
    <s v="technology/wearables"/>
    <n v="20"/>
    <n v="308.75"/>
    <x v="2"/>
    <x v="8"/>
    <x v="1335"/>
    <d v="2015-12-05T22:28:22"/>
    <x v="1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x v="0"/>
    <n v="224"/>
    <x v="1"/>
    <s v="technology/wearables"/>
    <n v="85"/>
    <n v="379.23"/>
    <x v="2"/>
    <x v="8"/>
    <x v="1336"/>
    <d v="2014-12-17T20:43:48"/>
    <x v="6"/>
    <x v="3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x v="0"/>
    <n v="140"/>
    <x v="1"/>
    <s v="technology/wearables"/>
    <n v="49"/>
    <n v="176.36"/>
    <x v="2"/>
    <x v="8"/>
    <x v="1337"/>
    <d v="2017-03-03T13:51:19"/>
    <x v="1"/>
    <x v="1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x v="0"/>
    <n v="15"/>
    <x v="1"/>
    <s v="technology/wearables"/>
    <n v="3"/>
    <n v="66.069999999999993"/>
    <x v="2"/>
    <x v="8"/>
    <x v="1338"/>
    <d v="2015-08-02T19:17:13"/>
    <x v="1"/>
    <x v="0"/>
  </r>
  <r>
    <x v="1339"/>
    <s v="Linkoo (Canceled)"/>
    <s v="World's Smallest customizable Phone &amp; GPS Watch for kids !"/>
    <x v="63"/>
    <x v="943"/>
    <x v="1"/>
    <x v="0"/>
    <s v="USD"/>
    <n v="1418056315"/>
    <x v="1339"/>
    <x v="0"/>
    <n v="37"/>
    <x v="1"/>
    <s v="technology/wearables"/>
    <n v="7"/>
    <n v="89.65"/>
    <x v="2"/>
    <x v="8"/>
    <x v="1339"/>
    <d v="2014-12-08T16:31:55"/>
    <x v="71"/>
    <x v="3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x v="0"/>
    <n v="0"/>
    <x v="1"/>
    <s v="technology/wearables"/>
    <n v="0"/>
    <n v="0"/>
    <x v="2"/>
    <x v="8"/>
    <x v="1340"/>
    <d v="2014-08-15T14:17:33"/>
    <x v="1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x v="0"/>
    <n v="46"/>
    <x v="1"/>
    <s v="technology/wearables"/>
    <n v="70"/>
    <n v="382.39"/>
    <x v="2"/>
    <x v="8"/>
    <x v="1341"/>
    <d v="2016-10-01T14:58:37"/>
    <x v="114"/>
    <x v="2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x v="0"/>
    <n v="1"/>
    <x v="1"/>
    <s v="technology/wearables"/>
    <n v="0"/>
    <n v="100"/>
    <x v="2"/>
    <x v="8"/>
    <x v="1342"/>
    <d v="2015-07-17T19:35:39"/>
    <x v="1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x v="0"/>
    <n v="323"/>
    <x v="1"/>
    <s v="technology/wearables"/>
    <n v="102"/>
    <n v="158.36000000000001"/>
    <x v="2"/>
    <x v="8"/>
    <x v="1343"/>
    <d v="2016-08-19T03:59:00"/>
    <x v="414"/>
    <x v="2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x v="0"/>
    <n v="139"/>
    <x v="0"/>
    <s v="publishing/nonfiction"/>
    <n v="378"/>
    <n v="40.76"/>
    <x v="3"/>
    <x v="9"/>
    <x v="1344"/>
    <d v="2016-06-30T18:57:19"/>
    <x v="229"/>
    <x v="2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x v="0"/>
    <n v="7"/>
    <x v="0"/>
    <s v="publishing/nonfiction"/>
    <n v="125"/>
    <n v="53.57"/>
    <x v="3"/>
    <x v="9"/>
    <x v="1345"/>
    <d v="2014-07-14T19:32:39"/>
    <x v="6"/>
    <x v="3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x v="0"/>
    <n v="149"/>
    <x v="0"/>
    <s v="publishing/nonfiction"/>
    <n v="147"/>
    <n v="48.45"/>
    <x v="3"/>
    <x v="9"/>
    <x v="1346"/>
    <d v="2013-06-27T01:49:11"/>
    <x v="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x v="0"/>
    <n v="31"/>
    <x v="0"/>
    <s v="publishing/nonfiction"/>
    <n v="102"/>
    <n v="82.42"/>
    <x v="3"/>
    <x v="9"/>
    <x v="1347"/>
    <d v="2015-03-07T15:18:45"/>
    <x v="1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x v="0"/>
    <n v="26"/>
    <x v="0"/>
    <s v="publishing/nonfiction"/>
    <n v="102"/>
    <n v="230.19"/>
    <x v="3"/>
    <x v="9"/>
    <x v="1348"/>
    <d v="2014-12-18T12:08:53"/>
    <x v="240"/>
    <x v="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x v="0"/>
    <n v="172"/>
    <x v="0"/>
    <s v="publishing/nonfiction"/>
    <n v="204"/>
    <n v="59.36"/>
    <x v="3"/>
    <x v="9"/>
    <x v="1349"/>
    <d v="2015-12-16T06:59:00"/>
    <x v="223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x v="0"/>
    <n v="78"/>
    <x v="0"/>
    <s v="publishing/nonfiction"/>
    <n v="104"/>
    <n v="66.7"/>
    <x v="3"/>
    <x v="9"/>
    <x v="1350"/>
    <d v="2015-12-26T00:18:54"/>
    <x v="1"/>
    <x v="0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x v="0"/>
    <n v="120"/>
    <x v="0"/>
    <s v="publishing/nonfiction"/>
    <n v="101"/>
    <n v="168.78"/>
    <x v="3"/>
    <x v="9"/>
    <x v="1351"/>
    <d v="2016-02-12T17:45:44"/>
    <x v="1"/>
    <x v="2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x v="0"/>
    <n v="227"/>
    <x v="0"/>
    <s v="publishing/nonfiction"/>
    <n v="136"/>
    <n v="59.97"/>
    <x v="3"/>
    <x v="9"/>
    <x v="1352"/>
    <d v="2015-09-05T03:59:00"/>
    <x v="415"/>
    <x v="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x v="0"/>
    <n v="42"/>
    <x v="0"/>
    <s v="publishing/nonfiction"/>
    <n v="134"/>
    <n v="31.81"/>
    <x v="3"/>
    <x v="9"/>
    <x v="1353"/>
    <d v="2013-03-11T00:00:00"/>
    <x v="416"/>
    <x v="4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x v="0"/>
    <n v="64"/>
    <x v="0"/>
    <s v="publishing/nonfiction"/>
    <n v="130"/>
    <n v="24.42"/>
    <x v="3"/>
    <x v="9"/>
    <x v="1354"/>
    <d v="2016-06-11T19:22:59"/>
    <x v="1"/>
    <x v="2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x v="0"/>
    <n v="121"/>
    <x v="0"/>
    <s v="publishing/nonfiction"/>
    <n v="123"/>
    <n v="25.35"/>
    <x v="3"/>
    <x v="9"/>
    <x v="1355"/>
    <d v="2012-11-30T10:00:00"/>
    <x v="83"/>
    <x v="5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x v="0"/>
    <n v="87"/>
    <x v="0"/>
    <s v="publishing/nonfiction"/>
    <n v="183"/>
    <n v="71.44"/>
    <x v="3"/>
    <x v="9"/>
    <x v="1356"/>
    <d v="2013-07-05T00:56:00"/>
    <x v="1"/>
    <x v="4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x v="0"/>
    <n v="65"/>
    <x v="0"/>
    <s v="publishing/nonfiction"/>
    <n v="125"/>
    <n v="38.549999999999997"/>
    <x v="3"/>
    <x v="9"/>
    <x v="1357"/>
    <d v="2013-03-01T05:59:00"/>
    <x v="417"/>
    <x v="4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x v="0"/>
    <n v="49"/>
    <x v="0"/>
    <s v="publishing/nonfiction"/>
    <n v="112"/>
    <n v="68.37"/>
    <x v="3"/>
    <x v="9"/>
    <x v="1358"/>
    <d v="2011-06-25T13:42:03"/>
    <x v="1"/>
    <x v="6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x v="0"/>
    <n v="19"/>
    <x v="0"/>
    <s v="publishing/nonfiction"/>
    <n v="116"/>
    <n v="40.21"/>
    <x v="3"/>
    <x v="9"/>
    <x v="1359"/>
    <d v="2011-07-06T19:33:10"/>
    <x v="418"/>
    <x v="6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x v="0"/>
    <n v="81"/>
    <x v="0"/>
    <s v="publishing/nonfiction"/>
    <n v="173"/>
    <n v="32.07"/>
    <x v="3"/>
    <x v="9"/>
    <x v="1360"/>
    <d v="2012-08-02T21:37:00"/>
    <x v="240"/>
    <x v="5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x v="0"/>
    <n v="264"/>
    <x v="0"/>
    <s v="publishing/nonfiction"/>
    <n v="126"/>
    <n v="28.63"/>
    <x v="3"/>
    <x v="9"/>
    <x v="1361"/>
    <d v="2014-06-21T17:12:52"/>
    <x v="1"/>
    <x v="3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x v="0"/>
    <n v="25"/>
    <x v="0"/>
    <s v="publishing/nonfiction"/>
    <n v="109"/>
    <n v="43.64"/>
    <x v="3"/>
    <x v="9"/>
    <x v="1362"/>
    <d v="2013-09-07T22:25:31"/>
    <x v="14"/>
    <x v="4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x v="0"/>
    <n v="5"/>
    <x v="0"/>
    <s v="publishing/nonfiction"/>
    <n v="100"/>
    <n v="40"/>
    <x v="3"/>
    <x v="9"/>
    <x v="1363"/>
    <d v="2016-02-15T07:59:00"/>
    <x v="419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x v="0"/>
    <n v="144"/>
    <x v="0"/>
    <s v="music/rock"/>
    <n v="119"/>
    <n v="346.04"/>
    <x v="4"/>
    <x v="11"/>
    <x v="1364"/>
    <d v="2015-01-07T16:41:46"/>
    <x v="14"/>
    <x v="3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x v="0"/>
    <n v="92"/>
    <x v="0"/>
    <s v="music/rock"/>
    <n v="100"/>
    <n v="81.739999999999995"/>
    <x v="4"/>
    <x v="11"/>
    <x v="1365"/>
    <d v="2015-03-16T16:35:52"/>
    <x v="22"/>
    <x v="0"/>
  </r>
  <r>
    <x v="1366"/>
    <s v="Kick It! A Tribute to the A.K.s"/>
    <s v="A musical memorial for Alexi Petersen."/>
    <x v="51"/>
    <x v="966"/>
    <x v="0"/>
    <x v="0"/>
    <s v="USD"/>
    <n v="1417049663"/>
    <x v="1366"/>
    <x v="0"/>
    <n v="147"/>
    <x v="0"/>
    <s v="music/rock"/>
    <n v="126"/>
    <n v="64.540000000000006"/>
    <x v="4"/>
    <x v="11"/>
    <x v="1366"/>
    <d v="2014-11-27T00:54:23"/>
    <x v="71"/>
    <x v="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x v="0"/>
    <n v="90"/>
    <x v="0"/>
    <s v="music/rock"/>
    <n v="114"/>
    <n v="63.48"/>
    <x v="4"/>
    <x v="11"/>
    <x v="1367"/>
    <d v="2015-11-14T01:04:10"/>
    <x v="13"/>
    <x v="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x v="0"/>
    <n v="87"/>
    <x v="0"/>
    <s v="music/rock"/>
    <n v="111"/>
    <n v="63.62"/>
    <x v="4"/>
    <x v="11"/>
    <x v="1368"/>
    <d v="2015-06-15T04:34:54"/>
    <x v="55"/>
    <x v="0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x v="0"/>
    <n v="406"/>
    <x v="0"/>
    <s v="music/rock"/>
    <n v="105"/>
    <n v="83.97"/>
    <x v="4"/>
    <x v="11"/>
    <x v="1369"/>
    <d v="2014-04-11T14:15:46"/>
    <x v="1"/>
    <x v="3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x v="0"/>
    <n v="20"/>
    <x v="0"/>
    <s v="music/rock"/>
    <n v="104"/>
    <n v="77.75"/>
    <x v="4"/>
    <x v="11"/>
    <x v="1370"/>
    <d v="2013-10-16T00:04:50"/>
    <x v="20"/>
    <x v="4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x v="0"/>
    <n v="70"/>
    <x v="0"/>
    <s v="music/rock"/>
    <n v="107"/>
    <n v="107.07"/>
    <x v="4"/>
    <x v="11"/>
    <x v="1371"/>
    <d v="2015-05-07T18:12:22"/>
    <x v="1"/>
    <x v="0"/>
  </r>
  <r>
    <x v="1372"/>
    <s v="Ted Lukas &amp; the Misled new CD - &quot;FEED&quot;"/>
    <s v="Please help us raise funds to press our new CD!"/>
    <x v="2"/>
    <x v="972"/>
    <x v="0"/>
    <x v="0"/>
    <s v="USD"/>
    <n v="1342115132"/>
    <x v="1372"/>
    <x v="0"/>
    <n v="16"/>
    <x v="0"/>
    <s v="music/rock"/>
    <n v="124"/>
    <n v="38.75"/>
    <x v="4"/>
    <x v="11"/>
    <x v="1372"/>
    <d v="2012-07-12T17:45:32"/>
    <x v="1"/>
    <x v="5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x v="0"/>
    <n v="52"/>
    <x v="0"/>
    <s v="music/rock"/>
    <n v="105"/>
    <n v="201.94"/>
    <x v="4"/>
    <x v="11"/>
    <x v="1373"/>
    <d v="2016-12-30T22:50:33"/>
    <x v="1"/>
    <x v="2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x v="0"/>
    <n v="66"/>
    <x v="0"/>
    <s v="music/rock"/>
    <n v="189"/>
    <n v="43.06"/>
    <x v="4"/>
    <x v="11"/>
    <x v="1374"/>
    <d v="2016-03-25T02:53:08"/>
    <x v="22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x v="0"/>
    <n v="109"/>
    <x v="0"/>
    <s v="music/rock"/>
    <n v="171"/>
    <n v="62.87"/>
    <x v="4"/>
    <x v="11"/>
    <x v="1375"/>
    <d v="2017-01-15T01:35:19"/>
    <x v="1"/>
    <x v="2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x v="0"/>
    <n v="168"/>
    <x v="0"/>
    <s v="music/rock"/>
    <n v="252"/>
    <n v="55.61"/>
    <x v="4"/>
    <x v="11"/>
    <x v="1376"/>
    <d v="2016-12-03T17:03:26"/>
    <x v="13"/>
    <x v="2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x v="0"/>
    <n v="31"/>
    <x v="0"/>
    <s v="music/rock"/>
    <n v="116"/>
    <n v="48.71"/>
    <x v="4"/>
    <x v="11"/>
    <x v="1377"/>
    <d v="2017-02-03T04:11:00"/>
    <x v="420"/>
    <x v="1"/>
  </r>
  <r>
    <x v="1378"/>
    <s v="SIX BY SEVEN"/>
    <s v="A psychedelic post rock masterpiece!"/>
    <x v="13"/>
    <x v="976"/>
    <x v="0"/>
    <x v="1"/>
    <s v="GBP"/>
    <n v="1470075210"/>
    <x v="1378"/>
    <x v="0"/>
    <n v="133"/>
    <x v="0"/>
    <s v="music/rock"/>
    <n v="203"/>
    <n v="30.58"/>
    <x v="4"/>
    <x v="11"/>
    <x v="1378"/>
    <d v="2016-08-01T18:13:30"/>
    <x v="20"/>
    <x v="2"/>
  </r>
  <r>
    <x v="1379"/>
    <s v="J. Walter Makes a Record"/>
    <s v="---------The long-awaited debut full-length from Justin Ruddy--------"/>
    <x v="3"/>
    <x v="977"/>
    <x v="0"/>
    <x v="0"/>
    <s v="USD"/>
    <n v="1433504876"/>
    <x v="1379"/>
    <x v="0"/>
    <n v="151"/>
    <x v="0"/>
    <s v="music/rock"/>
    <n v="112"/>
    <n v="73.91"/>
    <x v="4"/>
    <x v="11"/>
    <x v="1379"/>
    <d v="2015-06-05T11:47:56"/>
    <x v="1"/>
    <x v="0"/>
  </r>
  <r>
    <x v="1380"/>
    <s v="BARNFEST 2015"/>
    <s v="A DIY MUSIC FESTIVAL FROM ST. LOUIS MO! Bands make their own festival, help make it legit!"/>
    <x v="251"/>
    <x v="437"/>
    <x v="0"/>
    <x v="0"/>
    <s v="USD"/>
    <n v="1433815200"/>
    <x v="1380"/>
    <x v="0"/>
    <n v="5"/>
    <x v="0"/>
    <s v="music/rock"/>
    <n v="424"/>
    <n v="21.2"/>
    <x v="4"/>
    <x v="11"/>
    <x v="1380"/>
    <d v="2015-06-09T02:00:00"/>
    <x v="421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x v="0"/>
    <n v="73"/>
    <x v="0"/>
    <s v="music/rock"/>
    <n v="107"/>
    <n v="73.36"/>
    <x v="4"/>
    <x v="11"/>
    <x v="1381"/>
    <d v="2016-12-29T05:08:45"/>
    <x v="1"/>
    <x v="2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x v="0"/>
    <n v="148"/>
    <x v="0"/>
    <s v="music/rock"/>
    <n v="104"/>
    <n v="56.41"/>
    <x v="4"/>
    <x v="11"/>
    <x v="1382"/>
    <d v="2013-05-06T19:12:16"/>
    <x v="1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x v="0"/>
    <n v="93"/>
    <x v="0"/>
    <s v="music/rock"/>
    <n v="212"/>
    <n v="50.25"/>
    <x v="4"/>
    <x v="11"/>
    <x v="1383"/>
    <d v="2016-12-23T01:47:58"/>
    <x v="51"/>
    <x v="2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x v="0"/>
    <n v="63"/>
    <x v="0"/>
    <s v="music/rock"/>
    <n v="124"/>
    <n v="68.94"/>
    <x v="4"/>
    <x v="11"/>
    <x v="1384"/>
    <d v="2015-07-05T17:38:42"/>
    <x v="1"/>
    <x v="0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x v="0"/>
    <n v="134"/>
    <x v="0"/>
    <s v="music/rock"/>
    <n v="110"/>
    <n v="65.91"/>
    <x v="4"/>
    <x v="11"/>
    <x v="1385"/>
    <d v="2016-04-29T12:11:00"/>
    <x v="422"/>
    <x v="2"/>
  </r>
  <r>
    <x v="1386"/>
    <s v="MALTESE CROSS: The First Album"/>
    <s v="We are a classic hard rock/heavy metal band just trying to keep rock alive!"/>
    <x v="44"/>
    <x v="983"/>
    <x v="0"/>
    <x v="0"/>
    <s v="USD"/>
    <n v="1438183889"/>
    <x v="1386"/>
    <x v="0"/>
    <n v="14"/>
    <x v="0"/>
    <s v="music/rock"/>
    <n v="219"/>
    <n v="62.5"/>
    <x v="4"/>
    <x v="11"/>
    <x v="1386"/>
    <d v="2015-07-29T15:31:29"/>
    <x v="1"/>
    <x v="0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x v="0"/>
    <n v="78"/>
    <x v="0"/>
    <s v="music/rock"/>
    <n v="137"/>
    <n v="70.06"/>
    <x v="4"/>
    <x v="11"/>
    <x v="1387"/>
    <d v="2015-06-03T04:30:00"/>
    <x v="423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x v="0"/>
    <n v="112"/>
    <x v="0"/>
    <s v="music/rock"/>
    <n v="135"/>
    <n v="60.18"/>
    <x v="4"/>
    <x v="11"/>
    <x v="1388"/>
    <d v="2016-10-17T16:14:00"/>
    <x v="424"/>
    <x v="2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x v="0"/>
    <n v="34"/>
    <x v="0"/>
    <s v="music/rock"/>
    <n v="145"/>
    <n v="21.38"/>
    <x v="4"/>
    <x v="11"/>
    <x v="1389"/>
    <d v="2016-08-13T11:32:37"/>
    <x v="1"/>
    <x v="2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x v="0"/>
    <n v="19"/>
    <x v="0"/>
    <s v="music/rock"/>
    <n v="109"/>
    <n v="160.79"/>
    <x v="4"/>
    <x v="11"/>
    <x v="1390"/>
    <d v="2015-04-27T17:12:00"/>
    <x v="425"/>
    <x v="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x v="0"/>
    <n v="13"/>
    <x v="0"/>
    <s v="music/rock"/>
    <n v="110"/>
    <n v="42.38"/>
    <x v="4"/>
    <x v="11"/>
    <x v="1391"/>
    <d v="2015-08-22T04:59:00"/>
    <x v="426"/>
    <x v="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x v="0"/>
    <n v="104"/>
    <x v="0"/>
    <s v="music/rock"/>
    <n v="114"/>
    <n v="27.32"/>
    <x v="4"/>
    <x v="11"/>
    <x v="1392"/>
    <d v="2016-03-03T03:43:06"/>
    <x v="102"/>
    <x v="2"/>
  </r>
  <r>
    <x v="1393"/>
    <s v="WolfHunt | Social Commentary Rock Project"/>
    <s v="Rock n' Roll tales of our times"/>
    <x v="3"/>
    <x v="990"/>
    <x v="0"/>
    <x v="0"/>
    <s v="USD"/>
    <n v="1470068523"/>
    <x v="1393"/>
    <x v="0"/>
    <n v="52"/>
    <x v="0"/>
    <s v="music/rock"/>
    <n v="102"/>
    <n v="196.83"/>
    <x v="4"/>
    <x v="11"/>
    <x v="1393"/>
    <d v="2016-08-01T16:22:03"/>
    <x v="1"/>
    <x v="2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x v="0"/>
    <n v="17"/>
    <x v="0"/>
    <s v="music/rock"/>
    <n v="122"/>
    <n v="53.88"/>
    <x v="4"/>
    <x v="11"/>
    <x v="1394"/>
    <d v="2017-03-01T03:00:00"/>
    <x v="427"/>
    <x v="1"/>
  </r>
  <r>
    <x v="1395"/>
    <s v="Quiet Oaks Full Length Album"/>
    <s v="Help Quiet Oaks record their debut album!!!"/>
    <x v="8"/>
    <x v="992"/>
    <x v="0"/>
    <x v="0"/>
    <s v="USD"/>
    <n v="1484430481"/>
    <x v="1395"/>
    <x v="0"/>
    <n v="82"/>
    <x v="0"/>
    <s v="music/rock"/>
    <n v="112"/>
    <n v="47.76"/>
    <x v="4"/>
    <x v="11"/>
    <x v="1395"/>
    <d v="2017-01-14T21:48:01"/>
    <x v="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x v="0"/>
    <n v="73"/>
    <x v="0"/>
    <s v="music/rock"/>
    <n v="107"/>
    <n v="88.19"/>
    <x v="4"/>
    <x v="11"/>
    <x v="1396"/>
    <d v="2015-02-13T23:58:02"/>
    <x v="1"/>
    <x v="0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x v="0"/>
    <n v="158"/>
    <x v="0"/>
    <s v="music/rock"/>
    <n v="114"/>
    <n v="72.06"/>
    <x v="4"/>
    <x v="11"/>
    <x v="1397"/>
    <d v="2016-10-27T21:19:00"/>
    <x v="428"/>
    <x v="2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x v="0"/>
    <n v="65"/>
    <x v="0"/>
    <s v="music/rock"/>
    <n v="110"/>
    <n v="74.25"/>
    <x v="4"/>
    <x v="11"/>
    <x v="1398"/>
    <d v="2016-07-05T20:58:54"/>
    <x v="1"/>
    <x v="2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x v="0"/>
    <n v="184"/>
    <x v="0"/>
    <s v="music/rock"/>
    <n v="126"/>
    <n v="61.7"/>
    <x v="4"/>
    <x v="11"/>
    <x v="1399"/>
    <d v="2014-10-07T00:06:13"/>
    <x v="1"/>
    <x v="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x v="0"/>
    <n v="34"/>
    <x v="0"/>
    <s v="music/rock"/>
    <n v="167"/>
    <n v="17.239999999999998"/>
    <x v="4"/>
    <x v="11"/>
    <x v="1400"/>
    <d v="2016-06-12T05:30:00"/>
    <x v="429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x v="0"/>
    <n v="240"/>
    <x v="0"/>
    <s v="music/rock"/>
    <n v="497"/>
    <n v="51.72"/>
    <x v="4"/>
    <x v="11"/>
    <x v="1401"/>
    <d v="2013-05-26T23:54:34"/>
    <x v="31"/>
    <x v="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x v="0"/>
    <n v="113"/>
    <x v="0"/>
    <s v="music/rock"/>
    <n v="109"/>
    <n v="24.15"/>
    <x v="4"/>
    <x v="11"/>
    <x v="1402"/>
    <d v="2015-05-01T00:16:51"/>
    <x v="80"/>
    <x v="0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x v="0"/>
    <n v="66"/>
    <x v="0"/>
    <s v="music/rock"/>
    <n v="103"/>
    <n v="62.17"/>
    <x v="4"/>
    <x v="11"/>
    <x v="1403"/>
    <d v="2013-07-26T01:30:35"/>
    <x v="1"/>
    <x v="4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x v="1"/>
    <n v="5"/>
    <x v="1"/>
    <s v="publishing/translations"/>
    <n v="2"/>
    <n v="48.2"/>
    <x v="3"/>
    <x v="22"/>
    <x v="1404"/>
    <d v="2015-02-22T12:14:45"/>
    <x v="36"/>
    <x v="0"/>
  </r>
  <r>
    <x v="1405"/>
    <s v="The Bible translated into Emoticons"/>
    <s v="Will more people read the Bible if it were translated into Emoticons?"/>
    <x v="31"/>
    <x v="522"/>
    <x v="2"/>
    <x v="0"/>
    <s v="USD"/>
    <n v="1417195201"/>
    <x v="1405"/>
    <x v="1"/>
    <n v="17"/>
    <x v="1"/>
    <s v="publishing/translations"/>
    <n v="0"/>
    <n v="6.18"/>
    <x v="3"/>
    <x v="22"/>
    <x v="1405"/>
    <d v="2014-11-28T17:20:01"/>
    <x v="13"/>
    <x v="3"/>
  </r>
  <r>
    <x v="1406"/>
    <s v="Man Down! Translation project"/>
    <s v="The White coat and the battle dress uniform"/>
    <x v="14"/>
    <x v="493"/>
    <x v="2"/>
    <x v="13"/>
    <s v="EUR"/>
    <n v="1449914400"/>
    <x v="1406"/>
    <x v="0"/>
    <n v="3"/>
    <x v="1"/>
    <s v="publishing/translations"/>
    <n v="0"/>
    <n v="5"/>
    <x v="3"/>
    <x v="22"/>
    <x v="1406"/>
    <d v="2015-12-12T10:00:00"/>
    <x v="42"/>
    <x v="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x v="0"/>
    <n v="2"/>
    <x v="1"/>
    <s v="publishing/translations"/>
    <n v="1"/>
    <n v="7.5"/>
    <x v="3"/>
    <x v="22"/>
    <x v="1407"/>
    <d v="2014-08-12T12:52:58"/>
    <x v="36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x v="0"/>
    <n v="6"/>
    <x v="1"/>
    <s v="publishing/translations"/>
    <n v="7"/>
    <n v="12"/>
    <x v="3"/>
    <x v="22"/>
    <x v="1408"/>
    <d v="2015-11-13T21:55:56"/>
    <x v="13"/>
    <x v="0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x v="0"/>
    <n v="0"/>
    <x v="1"/>
    <s v="publishing/translations"/>
    <n v="0"/>
    <n v="0"/>
    <x v="3"/>
    <x v="22"/>
    <x v="1409"/>
    <d v="2015-01-01T04:12:15"/>
    <x v="27"/>
    <x v="3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x v="0"/>
    <n v="1"/>
    <x v="1"/>
    <s v="publishing/translations"/>
    <n v="0"/>
    <n v="1"/>
    <x v="3"/>
    <x v="22"/>
    <x v="1410"/>
    <d v="2016-06-03T07:38:40"/>
    <x v="26"/>
    <x v="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x v="0"/>
    <n v="3"/>
    <x v="1"/>
    <s v="publishing/translations"/>
    <n v="0"/>
    <n v="2.33"/>
    <x v="3"/>
    <x v="22"/>
    <x v="1411"/>
    <d v="2015-02-06T01:25:00"/>
    <x v="240"/>
    <x v="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x v="0"/>
    <n v="13"/>
    <x v="1"/>
    <s v="publishing/translations"/>
    <n v="5"/>
    <n v="24.62"/>
    <x v="3"/>
    <x v="22"/>
    <x v="1412"/>
    <d v="2014-12-04T01:31:39"/>
    <x v="1"/>
    <x v="3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x v="0"/>
    <n v="1"/>
    <x v="1"/>
    <s v="publishing/translations"/>
    <n v="5"/>
    <n v="100"/>
    <x v="3"/>
    <x v="22"/>
    <x v="1413"/>
    <d v="2016-02-20T10:29:30"/>
    <x v="14"/>
    <x v="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x v="0"/>
    <n v="1"/>
    <x v="1"/>
    <s v="publishing/translations"/>
    <n v="0"/>
    <n v="1"/>
    <x v="3"/>
    <x v="22"/>
    <x v="1414"/>
    <d v="2017-01-03T06:04:27"/>
    <x v="1"/>
    <x v="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x v="0"/>
    <n v="9"/>
    <x v="1"/>
    <s v="publishing/translations"/>
    <n v="18"/>
    <n v="88.89"/>
    <x v="3"/>
    <x v="22"/>
    <x v="1415"/>
    <d v="2015-08-16T16:13:11"/>
    <x v="4"/>
    <x v="0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x v="0"/>
    <n v="0"/>
    <x v="1"/>
    <s v="publishing/translations"/>
    <n v="0"/>
    <n v="0"/>
    <x v="3"/>
    <x v="22"/>
    <x v="1416"/>
    <d v="2015-11-21T23:13:39"/>
    <x v="13"/>
    <x v="0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x v="0"/>
    <n v="2"/>
    <x v="1"/>
    <s v="publishing/translations"/>
    <n v="1"/>
    <n v="27.5"/>
    <x v="3"/>
    <x v="22"/>
    <x v="1417"/>
    <d v="2015-09-15T11:11:00"/>
    <x v="430"/>
    <x v="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x v="0"/>
    <n v="1"/>
    <x v="1"/>
    <s v="publishing/translations"/>
    <n v="0"/>
    <n v="6"/>
    <x v="3"/>
    <x v="22"/>
    <x v="1418"/>
    <d v="2016-02-25T10:57:14"/>
    <x v="1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x v="0"/>
    <n v="10"/>
    <x v="1"/>
    <s v="publishing/translations"/>
    <n v="7"/>
    <n v="44.5"/>
    <x v="3"/>
    <x v="22"/>
    <x v="1419"/>
    <d v="2016-10-09T10:56:59"/>
    <x v="1"/>
    <x v="2"/>
  </r>
  <r>
    <x v="1420"/>
    <s v="Shakespeare in the Hood - Romeo and Juliet"/>
    <s v="Help me butcher Shakespeare in a satirical fashion."/>
    <x v="252"/>
    <x v="158"/>
    <x v="2"/>
    <x v="0"/>
    <s v="USD"/>
    <n v="1467129686"/>
    <x v="1420"/>
    <x v="0"/>
    <n v="3"/>
    <x v="1"/>
    <s v="publishing/translations"/>
    <n v="3"/>
    <n v="1"/>
    <x v="3"/>
    <x v="22"/>
    <x v="1420"/>
    <d v="2016-06-28T16:01:26"/>
    <x v="3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x v="0"/>
    <n v="2"/>
    <x v="1"/>
    <s v="publishing/translations"/>
    <n v="0"/>
    <n v="100"/>
    <x v="3"/>
    <x v="22"/>
    <x v="1421"/>
    <d v="2015-02-08T21:58:29"/>
    <x v="1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x v="0"/>
    <n v="2"/>
    <x v="1"/>
    <s v="publishing/translations"/>
    <n v="0"/>
    <n v="13"/>
    <x v="3"/>
    <x v="22"/>
    <x v="1422"/>
    <d v="2016-09-21T05:45:04"/>
    <x v="1"/>
    <x v="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x v="0"/>
    <n v="1"/>
    <x v="1"/>
    <s v="publishing/translations"/>
    <n v="0"/>
    <n v="100"/>
    <x v="3"/>
    <x v="22"/>
    <x v="1423"/>
    <d v="2016-01-01T08:38:51"/>
    <x v="1"/>
    <x v="0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x v="0"/>
    <n v="14"/>
    <x v="1"/>
    <s v="publishing/translations"/>
    <n v="20"/>
    <n v="109.07"/>
    <x v="3"/>
    <x v="22"/>
    <x v="1424"/>
    <d v="2016-11-15T18:13:22"/>
    <x v="431"/>
    <x v="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x v="0"/>
    <n v="0"/>
    <x v="1"/>
    <s v="publishing/translations"/>
    <n v="0"/>
    <n v="0"/>
    <x v="3"/>
    <x v="22"/>
    <x v="1425"/>
    <d v="2015-04-29T03:09:19"/>
    <x v="1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x v="0"/>
    <n v="0"/>
    <x v="1"/>
    <s v="publishing/translations"/>
    <n v="0"/>
    <n v="0"/>
    <x v="3"/>
    <x v="22"/>
    <x v="1426"/>
    <d v="2015-08-24T09:22:00"/>
    <x v="14"/>
    <x v="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x v="0"/>
    <n v="4"/>
    <x v="1"/>
    <s v="publishing/translations"/>
    <n v="8"/>
    <n v="104.75"/>
    <x v="3"/>
    <x v="22"/>
    <x v="1427"/>
    <d v="2016-09-18T20:26:25"/>
    <x v="1"/>
    <x v="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x v="0"/>
    <n v="3"/>
    <x v="1"/>
    <s v="publishing/translations"/>
    <n v="5"/>
    <n v="15"/>
    <x v="3"/>
    <x v="22"/>
    <x v="1428"/>
    <d v="2016-04-02T08:06:57"/>
    <x v="22"/>
    <x v="2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x v="0"/>
    <n v="0"/>
    <x v="1"/>
    <s v="publishing/translations"/>
    <n v="0"/>
    <n v="0"/>
    <x v="3"/>
    <x v="22"/>
    <x v="1429"/>
    <d v="2015-04-10T01:27:22"/>
    <x v="1"/>
    <x v="0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x v="0"/>
    <n v="5"/>
    <x v="1"/>
    <s v="publishing/translations"/>
    <n v="8"/>
    <n v="80.599999999999994"/>
    <x v="3"/>
    <x v="22"/>
    <x v="1430"/>
    <d v="2014-12-19T19:31:28"/>
    <x v="102"/>
    <x v="3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x v="0"/>
    <n v="47"/>
    <x v="1"/>
    <s v="publishing/translations"/>
    <n v="32"/>
    <n v="115.55"/>
    <x v="3"/>
    <x v="22"/>
    <x v="1431"/>
    <d v="2015-11-26T06:03:36"/>
    <x v="13"/>
    <x v="0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x v="0"/>
    <n v="0"/>
    <x v="1"/>
    <s v="publishing/translations"/>
    <n v="0"/>
    <n v="0"/>
    <x v="3"/>
    <x v="22"/>
    <x v="1432"/>
    <d v="2015-07-20T18:43:48"/>
    <x v="1"/>
    <x v="0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x v="0"/>
    <n v="10"/>
    <x v="1"/>
    <s v="publishing/translations"/>
    <n v="7"/>
    <n v="80.5"/>
    <x v="3"/>
    <x v="22"/>
    <x v="1433"/>
    <d v="2016-12-10T11:00:00"/>
    <x v="432"/>
    <x v="2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x v="0"/>
    <n v="11"/>
    <x v="1"/>
    <s v="publishing/translations"/>
    <n v="10"/>
    <n v="744.55"/>
    <x v="3"/>
    <x v="22"/>
    <x v="1434"/>
    <d v="2015-06-08T15:00:00"/>
    <x v="433"/>
    <x v="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x v="0"/>
    <n v="2"/>
    <x v="1"/>
    <s v="publishing/translations"/>
    <n v="0"/>
    <n v="7.5"/>
    <x v="3"/>
    <x v="22"/>
    <x v="1435"/>
    <d v="2015-10-11T18:43:40"/>
    <x v="1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x v="0"/>
    <n v="2"/>
    <x v="1"/>
    <s v="publishing/translations"/>
    <n v="1"/>
    <n v="38.5"/>
    <x v="3"/>
    <x v="22"/>
    <x v="1436"/>
    <d v="2016-02-21T08:24:17"/>
    <x v="1"/>
    <x v="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x v="0"/>
    <n v="22"/>
    <x v="1"/>
    <s v="publishing/translations"/>
    <n v="27"/>
    <n v="36.68"/>
    <x v="3"/>
    <x v="22"/>
    <x v="1437"/>
    <d v="2014-07-13T04:59:00"/>
    <x v="434"/>
    <x v="3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x v="0"/>
    <n v="8"/>
    <x v="1"/>
    <s v="publishing/translations"/>
    <n v="3"/>
    <n v="75"/>
    <x v="3"/>
    <x v="22"/>
    <x v="1438"/>
    <d v="2016-04-27T13:55:00"/>
    <x v="435"/>
    <x v="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x v="0"/>
    <n v="6"/>
    <x v="1"/>
    <s v="publishing/translations"/>
    <n v="7"/>
    <n v="30"/>
    <x v="3"/>
    <x v="22"/>
    <x v="1439"/>
    <d v="2015-03-07T19:55:01"/>
    <x v="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x v="0"/>
    <n v="1"/>
    <x v="1"/>
    <s v="publishing/translations"/>
    <n v="0"/>
    <n v="1"/>
    <x v="3"/>
    <x v="22"/>
    <x v="1440"/>
    <d v="2016-05-26T17:57:43"/>
    <x v="1"/>
    <x v="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x v="0"/>
    <n v="3"/>
    <x v="1"/>
    <s v="publishing/translations"/>
    <n v="1"/>
    <n v="673.33"/>
    <x v="3"/>
    <x v="22"/>
    <x v="1441"/>
    <d v="2015-09-11T18:22:49"/>
    <x v="14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x v="0"/>
    <n v="0"/>
    <x v="1"/>
    <s v="publishing/translations"/>
    <n v="0"/>
    <n v="0"/>
    <x v="3"/>
    <x v="22"/>
    <x v="1442"/>
    <d v="2016-05-25T15:29:18"/>
    <x v="1"/>
    <x v="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x v="0"/>
    <n v="0"/>
    <x v="1"/>
    <s v="publishing/translations"/>
    <n v="0"/>
    <n v="0"/>
    <x v="3"/>
    <x v="22"/>
    <x v="1443"/>
    <d v="2017-01-02T22:13:29"/>
    <x v="1"/>
    <x v="2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x v="0"/>
    <n v="0"/>
    <x v="1"/>
    <s v="publishing/translations"/>
    <n v="0"/>
    <n v="0"/>
    <x v="3"/>
    <x v="22"/>
    <x v="1444"/>
    <d v="2015-09-12T20:57:42"/>
    <x v="14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x v="0"/>
    <n v="0"/>
    <x v="1"/>
    <s v="publishing/translations"/>
    <n v="0"/>
    <n v="0"/>
    <x v="3"/>
    <x v="22"/>
    <x v="1445"/>
    <d v="2015-06-14T13:00:55"/>
    <x v="1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x v="0"/>
    <n v="0"/>
    <x v="1"/>
    <s v="publishing/translations"/>
    <n v="0"/>
    <n v="0"/>
    <x v="3"/>
    <x v="22"/>
    <x v="1446"/>
    <d v="2016-04-21T10:44:38"/>
    <x v="51"/>
    <x v="2"/>
  </r>
  <r>
    <x v="1447"/>
    <s v="Indian Language Dictionary"/>
    <s v="I'm creating a dictionary of multiple Indian languages."/>
    <x v="69"/>
    <x v="735"/>
    <x v="2"/>
    <x v="0"/>
    <s v="USD"/>
    <n v="1467999134"/>
    <x v="1447"/>
    <x v="0"/>
    <n v="3"/>
    <x v="1"/>
    <s v="publishing/translations"/>
    <n v="0"/>
    <n v="25"/>
    <x v="3"/>
    <x v="22"/>
    <x v="1447"/>
    <d v="2016-07-08T17:32:14"/>
    <x v="1"/>
    <x v="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x v="0"/>
    <n v="0"/>
    <x v="1"/>
    <s v="publishing/translations"/>
    <n v="0"/>
    <n v="0"/>
    <x v="3"/>
    <x v="22"/>
    <x v="1448"/>
    <d v="2015-05-22T05:25:00"/>
    <x v="436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x v="0"/>
    <n v="0"/>
    <x v="1"/>
    <s v="publishing/translations"/>
    <n v="0"/>
    <n v="0"/>
    <x v="3"/>
    <x v="22"/>
    <x v="1449"/>
    <d v="2015-05-10T19:28:25"/>
    <x v="437"/>
    <x v="0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x v="0"/>
    <n v="1"/>
    <x v="1"/>
    <s v="publishing/translations"/>
    <n v="0"/>
    <n v="1"/>
    <x v="3"/>
    <x v="22"/>
    <x v="1450"/>
    <d v="2016-02-20T04:06:37"/>
    <x v="1"/>
    <x v="2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x v="0"/>
    <n v="2"/>
    <x v="1"/>
    <s v="publishing/translations"/>
    <n v="0"/>
    <n v="1"/>
    <x v="3"/>
    <x v="22"/>
    <x v="1451"/>
    <d v="2014-11-19T00:00:59"/>
    <x v="13"/>
    <x v="3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x v="0"/>
    <n v="0"/>
    <x v="1"/>
    <s v="publishing/translations"/>
    <n v="0"/>
    <n v="0"/>
    <x v="3"/>
    <x v="22"/>
    <x v="1452"/>
    <d v="2014-07-28T16:52:43"/>
    <x v="1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x v="0"/>
    <n v="0"/>
    <x v="1"/>
    <s v="publishing/translations"/>
    <n v="0"/>
    <n v="0"/>
    <x v="3"/>
    <x v="22"/>
    <x v="1453"/>
    <d v="2017-04-15T15:42:27"/>
    <x v="129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x v="0"/>
    <n v="1"/>
    <x v="1"/>
    <s v="publishing/translations"/>
    <n v="1"/>
    <n v="15"/>
    <x v="3"/>
    <x v="22"/>
    <x v="1454"/>
    <d v="2016-04-24T21:59:00"/>
    <x v="438"/>
    <x v="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x v="0"/>
    <n v="7"/>
    <x v="1"/>
    <s v="publishing/translations"/>
    <n v="11"/>
    <n v="225"/>
    <x v="3"/>
    <x v="22"/>
    <x v="1455"/>
    <d v="2014-09-05T13:39:00"/>
    <x v="439"/>
    <x v="3"/>
  </r>
  <r>
    <x v="1456"/>
    <s v="Sometimes you don't need love (Canceled)"/>
    <s v="English Version of my auto-published novel"/>
    <x v="10"/>
    <x v="1011"/>
    <x v="1"/>
    <x v="13"/>
    <s v="EUR"/>
    <n v="1483459365"/>
    <x v="1456"/>
    <x v="0"/>
    <n v="3"/>
    <x v="1"/>
    <s v="publishing/translations"/>
    <n v="3"/>
    <n v="48.33"/>
    <x v="3"/>
    <x v="22"/>
    <x v="1456"/>
    <d v="2017-01-03T16:02:45"/>
    <x v="1"/>
    <x v="2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x v="0"/>
    <n v="0"/>
    <x v="1"/>
    <s v="publishing/translations"/>
    <n v="0"/>
    <n v="0"/>
    <x v="3"/>
    <x v="22"/>
    <x v="1457"/>
    <d v="2015-11-11T22:30:44"/>
    <x v="13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x v="0"/>
    <n v="0"/>
    <x v="1"/>
    <s v="publishing/translations"/>
    <n v="0"/>
    <n v="0"/>
    <x v="3"/>
    <x v="22"/>
    <x v="1458"/>
    <d v="2014-08-11T04:00:00"/>
    <x v="208"/>
    <x v="3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x v="0"/>
    <n v="0"/>
    <x v="1"/>
    <s v="publishing/translations"/>
    <n v="0"/>
    <n v="0"/>
    <x v="3"/>
    <x v="22"/>
    <x v="1459"/>
    <d v="2015-12-02T17:25:00"/>
    <x v="440"/>
    <x v="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x v="0"/>
    <n v="0"/>
    <x v="1"/>
    <s v="publishing/translations"/>
    <n v="0"/>
    <n v="0"/>
    <x v="3"/>
    <x v="22"/>
    <x v="1460"/>
    <d v="2014-11-30T23:45:00"/>
    <x v="441"/>
    <x v="3"/>
  </r>
  <r>
    <x v="1461"/>
    <s v="Relatively Prime Series 2"/>
    <s v="Series 2 of Relatively Prime, a podcast of stories from the Mathematical Domain"/>
    <x v="36"/>
    <x v="1012"/>
    <x v="0"/>
    <x v="0"/>
    <s v="USD"/>
    <n v="1413849600"/>
    <x v="1461"/>
    <x v="1"/>
    <n v="340"/>
    <x v="0"/>
    <s v="publishing/radio &amp; podcasts"/>
    <n v="101"/>
    <n v="44.67"/>
    <x v="3"/>
    <x v="23"/>
    <x v="1461"/>
    <d v="2014-10-21T00:00:00"/>
    <x v="442"/>
    <x v="3"/>
  </r>
  <r>
    <x v="1462"/>
    <s v="Unbound: Fiction on the Radio"/>
    <s v="A new radio show focused on short fiction produced by Louisville Public Media"/>
    <x v="23"/>
    <x v="1013"/>
    <x v="0"/>
    <x v="0"/>
    <s v="USD"/>
    <n v="1365609271"/>
    <x v="1462"/>
    <x v="1"/>
    <n v="150"/>
    <x v="0"/>
    <s v="publishing/radio &amp; podcasts"/>
    <n v="109"/>
    <n v="28.94"/>
    <x v="3"/>
    <x v="23"/>
    <x v="1462"/>
    <d v="2013-04-10T15:54:31"/>
    <x v="1"/>
    <x v="4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x v="1"/>
    <n v="25"/>
    <x v="0"/>
    <s v="publishing/radio &amp; podcasts"/>
    <n v="148"/>
    <n v="35.44"/>
    <x v="3"/>
    <x v="23"/>
    <x v="1463"/>
    <d v="2013-04-07T20:52:18"/>
    <x v="129"/>
    <x v="4"/>
  </r>
  <r>
    <x v="1464"/>
    <s v="Science Studio"/>
    <s v="The Best Science Media on the Web"/>
    <x v="10"/>
    <x v="1014"/>
    <x v="0"/>
    <x v="0"/>
    <s v="USD"/>
    <n v="1361029958"/>
    <x v="1464"/>
    <x v="1"/>
    <n v="234"/>
    <x v="0"/>
    <s v="publishing/radio &amp; podcasts"/>
    <n v="163"/>
    <n v="34.869999999999997"/>
    <x v="3"/>
    <x v="23"/>
    <x v="1464"/>
    <d v="2013-02-16T15:52:38"/>
    <x v="1"/>
    <x v="4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x v="1"/>
    <n v="2602"/>
    <x v="0"/>
    <s v="publishing/radio &amp; podcasts"/>
    <n v="456"/>
    <n v="52.62"/>
    <x v="3"/>
    <x v="23"/>
    <x v="1465"/>
    <d v="2012-03-22T03:00:00"/>
    <x v="157"/>
    <x v="5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x v="1"/>
    <n v="248"/>
    <x v="0"/>
    <s v="publishing/radio &amp; podcasts"/>
    <n v="108"/>
    <n v="69.599999999999994"/>
    <x v="3"/>
    <x v="23"/>
    <x v="1466"/>
    <d v="2016-01-12T05:00:00"/>
    <x v="199"/>
    <x v="0"/>
  </r>
  <r>
    <x v="1467"/>
    <s v="Radio Ambulante"/>
    <s v="We are a new Spanish language podcast telling uniquely Latin American stories."/>
    <x v="79"/>
    <x v="1017"/>
    <x v="0"/>
    <x v="0"/>
    <s v="USD"/>
    <n v="1332699285"/>
    <x v="1467"/>
    <x v="1"/>
    <n v="600"/>
    <x v="0"/>
    <s v="publishing/radio &amp; podcasts"/>
    <n v="115"/>
    <n v="76.72"/>
    <x v="3"/>
    <x v="23"/>
    <x v="1467"/>
    <d v="2012-03-25T18:14:45"/>
    <x v="80"/>
    <x v="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x v="1"/>
    <n v="293"/>
    <x v="0"/>
    <s v="publishing/radio &amp; podcasts"/>
    <n v="102"/>
    <n v="33.19"/>
    <x v="3"/>
    <x v="23"/>
    <x v="1468"/>
    <d v="2011-06-12T00:20:49"/>
    <x v="14"/>
    <x v="6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x v="1"/>
    <n v="321"/>
    <x v="0"/>
    <s v="publishing/radio &amp; podcasts"/>
    <n v="108"/>
    <n v="149.46"/>
    <x v="3"/>
    <x v="23"/>
    <x v="1469"/>
    <d v="2013-02-15T14:21:49"/>
    <x v="1"/>
    <x v="4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x v="1"/>
    <n v="81"/>
    <x v="0"/>
    <s v="publishing/radio &amp; podcasts"/>
    <n v="125"/>
    <n v="23.17"/>
    <x v="3"/>
    <x v="23"/>
    <x v="1470"/>
    <d v="2012-12-28T19:51:03"/>
    <x v="31"/>
    <x v="5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x v="1"/>
    <n v="343"/>
    <x v="0"/>
    <s v="publishing/radio &amp; podcasts"/>
    <n v="104"/>
    <n v="96.88"/>
    <x v="3"/>
    <x v="23"/>
    <x v="1471"/>
    <d v="2015-04-09T22:58:54"/>
    <x v="1"/>
    <x v="0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x v="1"/>
    <n v="336"/>
    <x v="0"/>
    <s v="publishing/radio &amp; podcasts"/>
    <n v="139"/>
    <n v="103.2"/>
    <x v="3"/>
    <x v="23"/>
    <x v="1472"/>
    <d v="2013-10-16T13:01:43"/>
    <x v="1"/>
    <x v="4"/>
  </r>
  <r>
    <x v="1473"/>
    <s v="ONE LOVES ONLY FORM"/>
    <s v="Public Radio Project"/>
    <x v="15"/>
    <x v="1023"/>
    <x v="0"/>
    <x v="0"/>
    <s v="USD"/>
    <n v="1330644639"/>
    <x v="1473"/>
    <x v="1"/>
    <n v="47"/>
    <x v="0"/>
    <s v="publishing/radio &amp; podcasts"/>
    <n v="121"/>
    <n v="38.46"/>
    <x v="3"/>
    <x v="23"/>
    <x v="1473"/>
    <d v="2012-03-01T23:30:39"/>
    <x v="1"/>
    <x v="5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x v="1"/>
    <n v="76"/>
    <x v="0"/>
    <s v="publishing/radio &amp; podcasts"/>
    <n v="112"/>
    <n v="44.32"/>
    <x v="3"/>
    <x v="23"/>
    <x v="1474"/>
    <d v="2013-09-13T17:28:12"/>
    <x v="1"/>
    <x v="4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x v="1"/>
    <n v="441"/>
    <x v="0"/>
    <s v="publishing/radio &amp; podcasts"/>
    <n v="189"/>
    <n v="64.17"/>
    <x v="3"/>
    <x v="23"/>
    <x v="1475"/>
    <d v="2014-12-20T04:59:00"/>
    <x v="443"/>
    <x v="3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x v="1476"/>
    <x v="1"/>
    <n v="916"/>
    <x v="0"/>
    <s v="publishing/radio &amp; podcasts"/>
    <n v="662"/>
    <n v="43.33"/>
    <x v="3"/>
    <x v="23"/>
    <x v="1476"/>
    <d v="2011-09-10T01:00:22"/>
    <x v="1"/>
    <x v="6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x v="1"/>
    <n v="369"/>
    <x v="0"/>
    <s v="publishing/radio &amp; podcasts"/>
    <n v="111"/>
    <n v="90.5"/>
    <x v="3"/>
    <x v="23"/>
    <x v="1477"/>
    <d v="2011-12-23T03:00:00"/>
    <x v="444"/>
    <x v="6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x v="1"/>
    <n v="20242"/>
    <x v="0"/>
    <s v="publishing/radio &amp; podcasts"/>
    <n v="1182"/>
    <n v="29.19"/>
    <x v="3"/>
    <x v="23"/>
    <x v="1478"/>
    <d v="2013-05-14T20:55:13"/>
    <x v="59"/>
    <x v="4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x v="1"/>
    <n v="71"/>
    <x v="0"/>
    <s v="publishing/radio &amp; podcasts"/>
    <n v="137"/>
    <n v="30.96"/>
    <x v="3"/>
    <x v="23"/>
    <x v="1479"/>
    <d v="2014-05-10T03:59:00"/>
    <x v="445"/>
    <x v="3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x v="1"/>
    <n v="635"/>
    <x v="0"/>
    <s v="publishing/radio &amp; podcasts"/>
    <n v="117"/>
    <n v="92.16"/>
    <x v="3"/>
    <x v="23"/>
    <x v="1480"/>
    <d v="2013-07-26T17:00:00"/>
    <x v="446"/>
    <x v="4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x v="0"/>
    <n v="6"/>
    <x v="1"/>
    <s v="publishing/fiction"/>
    <n v="2"/>
    <n v="17.5"/>
    <x v="3"/>
    <x v="10"/>
    <x v="1481"/>
    <d v="2013-11-02T22:09:05"/>
    <x v="1"/>
    <x v="4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x v="0"/>
    <n v="1"/>
    <x v="1"/>
    <s v="publishing/fiction"/>
    <n v="0"/>
    <n v="5"/>
    <x v="3"/>
    <x v="10"/>
    <x v="1482"/>
    <d v="2012-09-07T07:51:00"/>
    <x v="447"/>
    <x v="5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x v="0"/>
    <n v="2"/>
    <x v="1"/>
    <s v="publishing/fiction"/>
    <n v="1"/>
    <n v="25"/>
    <x v="3"/>
    <x v="10"/>
    <x v="1483"/>
    <d v="2016-07-22T04:37:55"/>
    <x v="36"/>
    <x v="2"/>
  </r>
  <r>
    <x v="1484"/>
    <s v="a book called filtered down thru the stars"/>
    <s v="The mussings of an old wizard"/>
    <x v="13"/>
    <x v="117"/>
    <x v="2"/>
    <x v="0"/>
    <s v="USD"/>
    <n v="1342882260"/>
    <x v="1484"/>
    <x v="0"/>
    <n v="0"/>
    <x v="1"/>
    <s v="publishing/fiction"/>
    <n v="0"/>
    <n v="0"/>
    <x v="3"/>
    <x v="10"/>
    <x v="1484"/>
    <d v="2012-07-21T14:51:00"/>
    <x v="448"/>
    <x v="5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x v="0"/>
    <n v="3"/>
    <x v="1"/>
    <s v="publishing/fiction"/>
    <n v="2"/>
    <n v="50"/>
    <x v="3"/>
    <x v="10"/>
    <x v="1485"/>
    <d v="2015-06-20T19:06:13"/>
    <x v="26"/>
    <x v="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x v="0"/>
    <n v="3"/>
    <x v="1"/>
    <s v="publishing/fiction"/>
    <n v="0"/>
    <n v="16"/>
    <x v="3"/>
    <x v="10"/>
    <x v="1486"/>
    <d v="2015-02-27T04:02:41"/>
    <x v="1"/>
    <x v="0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x v="0"/>
    <n v="0"/>
    <x v="1"/>
    <s v="publishing/fiction"/>
    <n v="0"/>
    <n v="0"/>
    <x v="3"/>
    <x v="10"/>
    <x v="1487"/>
    <d v="2016-08-02T22:01:11"/>
    <x v="1"/>
    <x v="2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x v="0"/>
    <n v="6"/>
    <x v="1"/>
    <s v="publishing/fiction"/>
    <n v="2"/>
    <n v="60"/>
    <x v="3"/>
    <x v="10"/>
    <x v="1488"/>
    <d v="2014-01-05T13:31:00"/>
    <x v="1"/>
    <x v="4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x v="0"/>
    <n v="0"/>
    <x v="1"/>
    <s v="publishing/fiction"/>
    <n v="0"/>
    <n v="0"/>
    <x v="3"/>
    <x v="10"/>
    <x v="1489"/>
    <d v="2012-11-15T15:40:52"/>
    <x v="13"/>
    <x v="5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x v="0"/>
    <n v="19"/>
    <x v="1"/>
    <s v="publishing/fiction"/>
    <n v="31"/>
    <n v="47.11"/>
    <x v="3"/>
    <x v="10"/>
    <x v="1490"/>
    <d v="2013-10-02T13:27:54"/>
    <x v="229"/>
    <x v="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x v="0"/>
    <n v="1"/>
    <x v="1"/>
    <s v="publishing/fiction"/>
    <n v="8"/>
    <n v="100"/>
    <x v="3"/>
    <x v="10"/>
    <x v="1491"/>
    <d v="2015-02-15T15:38:00"/>
    <x v="449"/>
    <x v="3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x v="0"/>
    <n v="2"/>
    <x v="1"/>
    <s v="publishing/fiction"/>
    <n v="1"/>
    <n v="15"/>
    <x v="3"/>
    <x v="10"/>
    <x v="1492"/>
    <d v="2011-06-18T21:14:06"/>
    <x v="1"/>
    <x v="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x v="0"/>
    <n v="0"/>
    <x v="1"/>
    <s v="publishing/fiction"/>
    <n v="0"/>
    <n v="0"/>
    <x v="3"/>
    <x v="10"/>
    <x v="1493"/>
    <d v="2013-06-16T20:47:55"/>
    <x v="1"/>
    <x v="4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x v="0"/>
    <n v="11"/>
    <x v="1"/>
    <s v="publishing/fiction"/>
    <n v="9"/>
    <n v="40.450000000000003"/>
    <x v="3"/>
    <x v="10"/>
    <x v="1494"/>
    <d v="2015-04-03T15:38:00"/>
    <x v="450"/>
    <x v="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x v="0"/>
    <n v="0"/>
    <x v="1"/>
    <s v="publishing/fiction"/>
    <n v="0"/>
    <n v="0"/>
    <x v="3"/>
    <x v="10"/>
    <x v="1495"/>
    <d v="2011-08-27T18:57:11"/>
    <x v="1"/>
    <x v="6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x v="0"/>
    <n v="0"/>
    <x v="1"/>
    <s v="publishing/fiction"/>
    <n v="0"/>
    <n v="0"/>
    <x v="3"/>
    <x v="10"/>
    <x v="1496"/>
    <d v="2014-09-16T11:24:19"/>
    <x v="14"/>
    <x v="3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x v="0"/>
    <n v="1"/>
    <x v="1"/>
    <s v="publishing/fiction"/>
    <n v="0"/>
    <n v="1"/>
    <x v="3"/>
    <x v="10"/>
    <x v="1497"/>
    <d v="2013-07-31T19:43:00"/>
    <x v="451"/>
    <x v="4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x v="0"/>
    <n v="3"/>
    <x v="1"/>
    <s v="publishing/fiction"/>
    <n v="2"/>
    <n v="19"/>
    <x v="3"/>
    <x v="10"/>
    <x v="1498"/>
    <d v="2014-09-03T23:36:18"/>
    <x v="26"/>
    <x v="3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x v="0"/>
    <n v="1"/>
    <x v="1"/>
    <s v="publishing/fiction"/>
    <n v="0"/>
    <n v="5"/>
    <x v="3"/>
    <x v="10"/>
    <x v="1499"/>
    <d v="2016-08-05T00:10:33"/>
    <x v="14"/>
    <x v="2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x v="0"/>
    <n v="15"/>
    <x v="1"/>
    <s v="publishing/fiction"/>
    <n v="25"/>
    <n v="46.73"/>
    <x v="3"/>
    <x v="10"/>
    <x v="1500"/>
    <d v="2013-05-01T21:42:37"/>
    <x v="1"/>
    <x v="4"/>
  </r>
  <r>
    <x v="1501"/>
    <s v="This is Nowhere"/>
    <s v="A hardcover book of surf, outdoor and nature photos from the British Columbia coast."/>
    <x v="263"/>
    <x v="1035"/>
    <x v="0"/>
    <x v="5"/>
    <s v="CAD"/>
    <n v="1436364023"/>
    <x v="1501"/>
    <x v="1"/>
    <n v="885"/>
    <x v="0"/>
    <s v="photography/photobooks"/>
    <n v="166"/>
    <n v="97.73"/>
    <x v="8"/>
    <x v="20"/>
    <x v="1501"/>
    <d v="2015-07-08T14:00:23"/>
    <x v="1"/>
    <x v="0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x v="1"/>
    <n v="329"/>
    <x v="0"/>
    <s v="photography/photobooks"/>
    <n v="101"/>
    <n v="67.84"/>
    <x v="8"/>
    <x v="20"/>
    <x v="1502"/>
    <d v="2016-03-25T22:00:00"/>
    <x v="452"/>
    <x v="2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x v="1"/>
    <n v="71"/>
    <x v="0"/>
    <s v="photography/photobooks"/>
    <n v="108"/>
    <n v="56.98"/>
    <x v="8"/>
    <x v="20"/>
    <x v="1503"/>
    <d v="2016-10-23T08:20:01"/>
    <x v="14"/>
    <x v="2"/>
  </r>
  <r>
    <x v="1504"/>
    <s v="RYU X RIO"/>
    <s v="A football photography book like no other about the 2014 World Cup in Brazil, by Ryu Voelkel."/>
    <x v="115"/>
    <x v="1038"/>
    <x v="0"/>
    <x v="1"/>
    <s v="GBP"/>
    <n v="1402389180"/>
    <x v="1504"/>
    <x v="1"/>
    <n v="269"/>
    <x v="0"/>
    <s v="photography/photobooks"/>
    <n v="278"/>
    <n v="67.16"/>
    <x v="8"/>
    <x v="20"/>
    <x v="1504"/>
    <d v="2014-06-10T08:33:00"/>
    <x v="453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x v="1"/>
    <n v="345"/>
    <x v="0"/>
    <s v="photography/photobooks"/>
    <n v="104"/>
    <n v="48.04"/>
    <x v="8"/>
    <x v="20"/>
    <x v="1505"/>
    <d v="2016-03-22T20:01:00"/>
    <x v="454"/>
    <x v="2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x v="1"/>
    <n v="43"/>
    <x v="0"/>
    <s v="photography/photobooks"/>
    <n v="111"/>
    <n v="38.86"/>
    <x v="8"/>
    <x v="20"/>
    <x v="1506"/>
    <d v="2014-07-24T18:51:44"/>
    <x v="1"/>
    <x v="3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x v="1"/>
    <n v="33"/>
    <x v="0"/>
    <s v="photography/photobooks"/>
    <n v="215"/>
    <n v="78.180000000000007"/>
    <x v="8"/>
    <x v="20"/>
    <x v="1507"/>
    <d v="2010-05-15T08:10:00"/>
    <x v="455"/>
    <x v="7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x v="1"/>
    <n v="211"/>
    <x v="0"/>
    <s v="photography/photobooks"/>
    <n v="111"/>
    <n v="97.11"/>
    <x v="8"/>
    <x v="20"/>
    <x v="1508"/>
    <d v="2014-06-27T14:44:41"/>
    <x v="102"/>
    <x v="3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x v="1"/>
    <n v="196"/>
    <x v="0"/>
    <s v="photography/photobooks"/>
    <n v="124"/>
    <n v="110.39"/>
    <x v="8"/>
    <x v="20"/>
    <x v="1509"/>
    <d v="2017-02-14T22:59:00"/>
    <x v="456"/>
    <x v="1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x v="1"/>
    <n v="405"/>
    <x v="0"/>
    <s v="photography/photobooks"/>
    <n v="101"/>
    <n v="39.92"/>
    <x v="8"/>
    <x v="20"/>
    <x v="1510"/>
    <d v="2014-07-19T09:14:38"/>
    <x v="1"/>
    <x v="3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x v="1"/>
    <n v="206"/>
    <x v="0"/>
    <s v="photography/photobooks"/>
    <n v="112"/>
    <n v="75.98"/>
    <x v="8"/>
    <x v="20"/>
    <x v="1511"/>
    <d v="2015-11-18T15:00:04"/>
    <x v="13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x v="1"/>
    <n v="335"/>
    <x v="0"/>
    <s v="photography/photobooks"/>
    <n v="559"/>
    <n v="58.38"/>
    <x v="8"/>
    <x v="20"/>
    <x v="1512"/>
    <d v="2017-02-05T16:25:39"/>
    <x v="1"/>
    <x v="1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x v="1"/>
    <n v="215"/>
    <x v="0"/>
    <s v="photography/photobooks"/>
    <n v="150"/>
    <n v="55.82"/>
    <x v="8"/>
    <x v="20"/>
    <x v="1513"/>
    <d v="2014-07-16T15:17:46"/>
    <x v="1"/>
    <x v="3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x v="1"/>
    <n v="176"/>
    <x v="0"/>
    <s v="photography/photobooks"/>
    <n v="106"/>
    <n v="151.24"/>
    <x v="8"/>
    <x v="20"/>
    <x v="1514"/>
    <d v="2015-09-27T14:20:40"/>
    <x v="4"/>
    <x v="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x v="1"/>
    <n v="555"/>
    <x v="0"/>
    <s v="photography/photobooks"/>
    <n v="157"/>
    <n v="849.67"/>
    <x v="8"/>
    <x v="20"/>
    <x v="1515"/>
    <d v="2016-03-16T05:04:57"/>
    <x v="22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x v="1"/>
    <n v="116"/>
    <x v="0"/>
    <s v="photography/photobooks"/>
    <n v="109"/>
    <n v="159.24"/>
    <x v="8"/>
    <x v="20"/>
    <x v="1516"/>
    <d v="2016-10-06T14:00:00"/>
    <x v="457"/>
    <x v="2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x v="1"/>
    <n v="615"/>
    <x v="0"/>
    <s v="photography/photobooks"/>
    <n v="162"/>
    <n v="39.51"/>
    <x v="8"/>
    <x v="20"/>
    <x v="1517"/>
    <d v="2014-12-06T06:00:00"/>
    <x v="363"/>
    <x v="3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x v="1"/>
    <n v="236"/>
    <x v="0"/>
    <s v="photography/photobooks"/>
    <n v="205"/>
    <n v="130.53"/>
    <x v="8"/>
    <x v="20"/>
    <x v="1518"/>
    <d v="2014-05-31T19:40:52"/>
    <x v="1"/>
    <x v="3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x v="1"/>
    <n v="145"/>
    <x v="0"/>
    <s v="photography/photobooks"/>
    <n v="103"/>
    <n v="64.16"/>
    <x v="8"/>
    <x v="20"/>
    <x v="1519"/>
    <d v="2014-06-20T21:59:00"/>
    <x v="458"/>
    <x v="3"/>
  </r>
  <r>
    <x v="1520"/>
    <s v="TULIPS"/>
    <s v="A self-published photography book by Andrew Miksys from his new series about Belarus"/>
    <x v="102"/>
    <x v="1054"/>
    <x v="0"/>
    <x v="0"/>
    <s v="USD"/>
    <n v="1418961600"/>
    <x v="1520"/>
    <x v="1"/>
    <n v="167"/>
    <x v="0"/>
    <s v="photography/photobooks"/>
    <n v="103"/>
    <n v="111.53"/>
    <x v="8"/>
    <x v="20"/>
    <x v="1520"/>
    <d v="2014-12-19T04:00:00"/>
    <x v="459"/>
    <x v="3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x v="1"/>
    <n v="235"/>
    <x v="0"/>
    <s v="photography/photobooks"/>
    <n v="107"/>
    <n v="170.45"/>
    <x v="8"/>
    <x v="20"/>
    <x v="1521"/>
    <d v="2016-06-07T04:01:31"/>
    <x v="6"/>
    <x v="2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x v="1"/>
    <n v="452"/>
    <x v="0"/>
    <s v="photography/photobooks"/>
    <n v="139"/>
    <n v="133.74"/>
    <x v="8"/>
    <x v="20"/>
    <x v="1522"/>
    <d v="2014-10-17T19:55:39"/>
    <x v="1"/>
    <x v="3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x v="1"/>
    <n v="241"/>
    <x v="0"/>
    <s v="photography/photobooks"/>
    <n v="125"/>
    <n v="95.83"/>
    <x v="8"/>
    <x v="20"/>
    <x v="1523"/>
    <d v="2014-12-23T00:00:00"/>
    <x v="460"/>
    <x v="3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x v="1"/>
    <n v="28"/>
    <x v="0"/>
    <s v="photography/photobooks"/>
    <n v="207"/>
    <n v="221.79"/>
    <x v="8"/>
    <x v="20"/>
    <x v="1524"/>
    <d v="2017-02-20T12:01:30"/>
    <x v="1"/>
    <x v="1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x v="1"/>
    <n v="140"/>
    <x v="0"/>
    <s v="photography/photobooks"/>
    <n v="174"/>
    <n v="32.32"/>
    <x v="8"/>
    <x v="20"/>
    <x v="1525"/>
    <d v="2016-08-18T16:52:18"/>
    <x v="1"/>
    <x v="2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x v="1"/>
    <n v="280"/>
    <x v="0"/>
    <s v="photography/photobooks"/>
    <n v="120"/>
    <n v="98.84"/>
    <x v="8"/>
    <x v="20"/>
    <x v="1526"/>
    <d v="2016-01-19T06:37:27"/>
    <x v="461"/>
    <x v="0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x v="1"/>
    <n v="70"/>
    <x v="0"/>
    <s v="photography/photobooks"/>
    <n v="110"/>
    <n v="55.22"/>
    <x v="8"/>
    <x v="20"/>
    <x v="1527"/>
    <d v="2017-03-14T13:24:46"/>
    <x v="296"/>
    <x v="1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x v="1"/>
    <n v="160"/>
    <x v="0"/>
    <s v="photography/photobooks"/>
    <n v="282"/>
    <n v="52.79"/>
    <x v="8"/>
    <x v="20"/>
    <x v="1528"/>
    <d v="2017-02-01T00:00:00"/>
    <x v="462"/>
    <x v="1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x v="1"/>
    <n v="141"/>
    <x v="0"/>
    <s v="photography/photobooks"/>
    <n v="101"/>
    <n v="135.66999999999999"/>
    <x v="8"/>
    <x v="20"/>
    <x v="1529"/>
    <d v="2015-03-19T14:05:20"/>
    <x v="22"/>
    <x v="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x v="1"/>
    <n v="874"/>
    <x v="0"/>
    <s v="photography/photobooks"/>
    <n v="135"/>
    <n v="53.99"/>
    <x v="8"/>
    <x v="20"/>
    <x v="1530"/>
    <d v="2015-10-23T18:24:55"/>
    <x v="36"/>
    <x v="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x v="1"/>
    <n v="73"/>
    <x v="0"/>
    <s v="photography/photobooks"/>
    <n v="176"/>
    <n v="56.64"/>
    <x v="8"/>
    <x v="20"/>
    <x v="1531"/>
    <d v="2014-12-01T03:00:00"/>
    <x v="463"/>
    <x v="3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x v="1"/>
    <n v="294"/>
    <x v="0"/>
    <s v="photography/photobooks"/>
    <n v="484"/>
    <n v="82.32"/>
    <x v="8"/>
    <x v="20"/>
    <x v="1532"/>
    <d v="2016-02-15T15:00:00"/>
    <x v="464"/>
    <x v="2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x v="1"/>
    <n v="740"/>
    <x v="0"/>
    <s v="photography/photobooks"/>
    <n v="145"/>
    <n v="88.26"/>
    <x v="8"/>
    <x v="20"/>
    <x v="1533"/>
    <d v="2016-05-02T03:59:00"/>
    <x v="465"/>
    <x v="2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x v="1"/>
    <n v="369"/>
    <x v="0"/>
    <s v="photography/photobooks"/>
    <n v="418"/>
    <n v="84.91"/>
    <x v="8"/>
    <x v="20"/>
    <x v="1534"/>
    <d v="2015-09-04T16:11:02"/>
    <x v="1"/>
    <x v="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x v="1"/>
    <n v="110"/>
    <x v="0"/>
    <s v="photography/photobooks"/>
    <n v="132"/>
    <n v="48.15"/>
    <x v="8"/>
    <x v="20"/>
    <x v="1535"/>
    <d v="2016-05-23T22:00:00"/>
    <x v="466"/>
    <x v="2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x v="1"/>
    <n v="455"/>
    <x v="0"/>
    <s v="photography/photobooks"/>
    <n v="250"/>
    <n v="66.02"/>
    <x v="8"/>
    <x v="20"/>
    <x v="1536"/>
    <d v="2015-08-27T19:15:10"/>
    <x v="1"/>
    <x v="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x v="1"/>
    <n v="224"/>
    <x v="0"/>
    <s v="photography/photobooks"/>
    <n v="180"/>
    <n v="96.38"/>
    <x v="8"/>
    <x v="20"/>
    <x v="1537"/>
    <d v="2016-08-06T18:00:00"/>
    <x v="467"/>
    <x v="2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x v="1"/>
    <n v="46"/>
    <x v="0"/>
    <s v="photography/photobooks"/>
    <n v="103"/>
    <n v="156.16999999999999"/>
    <x v="8"/>
    <x v="20"/>
    <x v="1538"/>
    <d v="2015-01-22T18:46:10"/>
    <x v="26"/>
    <x v="3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x v="0"/>
    <n v="284"/>
    <x v="0"/>
    <s v="photography/photobooks"/>
    <n v="136"/>
    <n v="95.76"/>
    <x v="8"/>
    <x v="20"/>
    <x v="1539"/>
    <d v="2017-01-03T22:03:39"/>
    <x v="17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x v="1"/>
    <n v="98"/>
    <x v="0"/>
    <s v="photography/photobooks"/>
    <n v="118"/>
    <n v="180.41"/>
    <x v="8"/>
    <x v="20"/>
    <x v="1540"/>
    <d v="2014-11-26T01:15:00"/>
    <x v="13"/>
    <x v="3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x v="0"/>
    <n v="2"/>
    <x v="1"/>
    <s v="photography/nature"/>
    <n v="0"/>
    <n v="3"/>
    <x v="8"/>
    <x v="24"/>
    <x v="1541"/>
    <d v="2014-12-31T17:05:38"/>
    <x v="1"/>
    <x v="3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x v="0"/>
    <n v="1"/>
    <x v="1"/>
    <s v="photography/nature"/>
    <n v="4"/>
    <n v="20"/>
    <x v="8"/>
    <x v="24"/>
    <x v="1542"/>
    <d v="2015-06-30T23:55:00"/>
    <x v="20"/>
    <x v="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x v="0"/>
    <n v="1"/>
    <x v="1"/>
    <s v="photography/nature"/>
    <n v="0"/>
    <n v="10"/>
    <x v="8"/>
    <x v="24"/>
    <x v="1543"/>
    <d v="2014-11-22T13:13:54"/>
    <x v="13"/>
    <x v="3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x v="0"/>
    <n v="0"/>
    <x v="1"/>
    <s v="photography/nature"/>
    <n v="0"/>
    <n v="0"/>
    <x v="8"/>
    <x v="24"/>
    <x v="1544"/>
    <d v="2015-04-01T00:18:00"/>
    <x v="325"/>
    <x v="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x v="0"/>
    <n v="1"/>
    <x v="1"/>
    <s v="photography/nature"/>
    <n v="0"/>
    <n v="1"/>
    <x v="8"/>
    <x v="24"/>
    <x v="1545"/>
    <d v="2015-03-02T21:16:00"/>
    <x v="322"/>
    <x v="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x v="0"/>
    <n v="11"/>
    <x v="1"/>
    <s v="photography/nature"/>
    <n v="29"/>
    <n v="26.27"/>
    <x v="8"/>
    <x v="24"/>
    <x v="1546"/>
    <d v="2014-09-17T05:06:39"/>
    <x v="14"/>
    <x v="3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x v="0"/>
    <n v="0"/>
    <x v="1"/>
    <s v="photography/nature"/>
    <n v="0"/>
    <n v="0"/>
    <x v="8"/>
    <x v="24"/>
    <x v="1547"/>
    <d v="2017-02-23T10:14:42"/>
    <x v="354"/>
    <x v="1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x v="0"/>
    <n v="1"/>
    <x v="1"/>
    <s v="photography/nature"/>
    <n v="9"/>
    <n v="60"/>
    <x v="8"/>
    <x v="24"/>
    <x v="1548"/>
    <d v="2015-11-08T22:10:20"/>
    <x v="13"/>
    <x v="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x v="0"/>
    <n v="6"/>
    <x v="1"/>
    <s v="photography/nature"/>
    <n v="34"/>
    <n v="28.33"/>
    <x v="8"/>
    <x v="24"/>
    <x v="1549"/>
    <d v="2015-11-03T04:15:59"/>
    <x v="13"/>
    <x v="0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x v="0"/>
    <n v="7"/>
    <x v="1"/>
    <s v="photography/nature"/>
    <n v="13"/>
    <n v="14.43"/>
    <x v="8"/>
    <x v="24"/>
    <x v="1550"/>
    <d v="2016-05-12T10:47:14"/>
    <x v="1"/>
    <x v="2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x v="0"/>
    <n v="0"/>
    <x v="1"/>
    <s v="photography/nature"/>
    <n v="0"/>
    <n v="0"/>
    <x v="8"/>
    <x v="24"/>
    <x v="1551"/>
    <d v="2015-05-27T19:47:19"/>
    <x v="1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x v="0"/>
    <n v="16"/>
    <x v="1"/>
    <s v="photography/nature"/>
    <n v="49"/>
    <n v="132.19"/>
    <x v="8"/>
    <x v="24"/>
    <x v="1552"/>
    <d v="2014-10-01T03:59:00"/>
    <x v="468"/>
    <x v="3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x v="0"/>
    <n v="0"/>
    <x v="1"/>
    <s v="photography/nature"/>
    <n v="0"/>
    <n v="0"/>
    <x v="8"/>
    <x v="24"/>
    <x v="1553"/>
    <d v="2015-09-02T06:47:27"/>
    <x v="1"/>
    <x v="0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x v="0"/>
    <n v="0"/>
    <x v="1"/>
    <s v="photography/nature"/>
    <n v="0"/>
    <n v="0"/>
    <x v="8"/>
    <x v="24"/>
    <x v="1554"/>
    <d v="2015-08-02T06:03:10"/>
    <x v="1"/>
    <x v="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x v="0"/>
    <n v="0"/>
    <x v="1"/>
    <s v="photography/nature"/>
    <n v="0"/>
    <n v="0"/>
    <x v="8"/>
    <x v="24"/>
    <x v="1555"/>
    <d v="2015-09-17T17:00:00"/>
    <x v="469"/>
    <x v="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x v="0"/>
    <n v="12"/>
    <x v="1"/>
    <s v="photography/nature"/>
    <n v="45"/>
    <n v="56.42"/>
    <x v="8"/>
    <x v="24"/>
    <x v="1556"/>
    <d v="2016-07-04T03:40:24"/>
    <x v="1"/>
    <x v="2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x v="0"/>
    <n v="1"/>
    <x v="1"/>
    <s v="photography/nature"/>
    <n v="4"/>
    <n v="100"/>
    <x v="8"/>
    <x v="24"/>
    <x v="1557"/>
    <d v="2014-09-20T15:40:33"/>
    <x v="102"/>
    <x v="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x v="0"/>
    <n v="3"/>
    <x v="1"/>
    <s v="photography/nature"/>
    <n v="5"/>
    <n v="11.67"/>
    <x v="8"/>
    <x v="24"/>
    <x v="1558"/>
    <d v="2015-08-28T12:12:00"/>
    <x v="470"/>
    <x v="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x v="0"/>
    <n v="1"/>
    <x v="1"/>
    <s v="photography/nature"/>
    <n v="0"/>
    <n v="50"/>
    <x v="8"/>
    <x v="24"/>
    <x v="1559"/>
    <d v="2015-04-29T01:16:39"/>
    <x v="20"/>
    <x v="0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x v="0"/>
    <n v="4"/>
    <x v="1"/>
    <s v="photography/nature"/>
    <n v="4"/>
    <n v="23.5"/>
    <x v="8"/>
    <x v="24"/>
    <x v="1560"/>
    <d v="2014-11-13T01:29:53"/>
    <x v="54"/>
    <x v="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x v="0"/>
    <n v="1"/>
    <x v="1"/>
    <s v="publishing/art books"/>
    <n v="1"/>
    <n v="67"/>
    <x v="3"/>
    <x v="25"/>
    <x v="1561"/>
    <d v="2013-11-07T02:00:03"/>
    <x v="1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x v="0"/>
    <n v="0"/>
    <x v="1"/>
    <s v="publishing/art books"/>
    <n v="0"/>
    <n v="0"/>
    <x v="3"/>
    <x v="25"/>
    <x v="1562"/>
    <d v="2009-12-02T00:50:00"/>
    <x v="471"/>
    <x v="8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x v="0"/>
    <n v="2"/>
    <x v="1"/>
    <s v="publishing/art books"/>
    <n v="1"/>
    <n v="42.5"/>
    <x v="3"/>
    <x v="25"/>
    <x v="1563"/>
    <d v="2014-03-14T16:49:11"/>
    <x v="80"/>
    <x v="3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x v="0"/>
    <n v="1"/>
    <x v="1"/>
    <s v="publishing/art books"/>
    <n v="0"/>
    <n v="10"/>
    <x v="3"/>
    <x v="25"/>
    <x v="1564"/>
    <d v="2015-05-28T20:05:00"/>
    <x v="472"/>
    <x v="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x v="0"/>
    <n v="1"/>
    <x v="1"/>
    <s v="publishing/art books"/>
    <n v="3"/>
    <n v="100"/>
    <x v="3"/>
    <x v="25"/>
    <x v="1565"/>
    <d v="2011-06-08T17:31:01"/>
    <x v="1"/>
    <x v="6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x v="0"/>
    <n v="59"/>
    <x v="1"/>
    <s v="publishing/art books"/>
    <n v="21"/>
    <n v="108.05"/>
    <x v="3"/>
    <x v="25"/>
    <x v="1566"/>
    <d v="2016-07-27T22:00:00"/>
    <x v="229"/>
    <x v="2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x v="0"/>
    <n v="13"/>
    <x v="1"/>
    <s v="publishing/art books"/>
    <n v="4"/>
    <n v="26.92"/>
    <x v="3"/>
    <x v="25"/>
    <x v="1567"/>
    <d v="2014-02-17T00:00:00"/>
    <x v="473"/>
    <x v="3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x v="0"/>
    <n v="22"/>
    <x v="1"/>
    <s v="publishing/art books"/>
    <n v="14"/>
    <n v="155"/>
    <x v="3"/>
    <x v="25"/>
    <x v="1568"/>
    <d v="2014-12-24T01:29:45"/>
    <x v="6"/>
    <x v="3"/>
  </r>
  <r>
    <x v="1569"/>
    <s v="to be removed (Canceled)"/>
    <s v="to be removed"/>
    <x v="11"/>
    <x v="117"/>
    <x v="1"/>
    <x v="0"/>
    <s v="USD"/>
    <n v="1369498714"/>
    <x v="1569"/>
    <x v="0"/>
    <n v="0"/>
    <x v="1"/>
    <s v="publishing/art books"/>
    <n v="0"/>
    <n v="0"/>
    <x v="3"/>
    <x v="25"/>
    <x v="1569"/>
    <d v="2013-05-25T16:18:34"/>
    <x v="1"/>
    <x v="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x v="0"/>
    <n v="52"/>
    <x v="1"/>
    <s v="publishing/art books"/>
    <n v="41"/>
    <n v="47.77"/>
    <x v="3"/>
    <x v="25"/>
    <x v="1570"/>
    <d v="2016-04-08T18:31:22"/>
    <x v="22"/>
    <x v="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x v="0"/>
    <n v="4"/>
    <x v="1"/>
    <s v="publishing/art books"/>
    <n v="1"/>
    <n v="20"/>
    <x v="3"/>
    <x v="25"/>
    <x v="1571"/>
    <d v="2015-06-19T18:28:03"/>
    <x v="1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x v="0"/>
    <n v="3"/>
    <x v="1"/>
    <s v="publishing/art books"/>
    <n v="5"/>
    <n v="41.67"/>
    <x v="3"/>
    <x v="25"/>
    <x v="1572"/>
    <d v="2016-02-28T23:59:00"/>
    <x v="474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x v="0"/>
    <n v="3"/>
    <x v="1"/>
    <s v="publishing/art books"/>
    <n v="2"/>
    <n v="74.33"/>
    <x v="3"/>
    <x v="25"/>
    <x v="1573"/>
    <d v="2017-04-01T03:59:00"/>
    <x v="475"/>
    <x v="1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x v="0"/>
    <n v="6"/>
    <x v="1"/>
    <s v="publishing/art books"/>
    <n v="5"/>
    <n v="84.33"/>
    <x v="3"/>
    <x v="25"/>
    <x v="1574"/>
    <d v="2015-02-17T22:15:29"/>
    <x v="6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x v="0"/>
    <n v="35"/>
    <x v="1"/>
    <s v="publishing/art books"/>
    <n v="23"/>
    <n v="65.459999999999994"/>
    <x v="3"/>
    <x v="25"/>
    <x v="1575"/>
    <d v="2014-07-09T12:34:56"/>
    <x v="1"/>
    <x v="3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x v="0"/>
    <n v="10"/>
    <x v="1"/>
    <s v="publishing/art books"/>
    <n v="13"/>
    <n v="65"/>
    <x v="3"/>
    <x v="25"/>
    <x v="1576"/>
    <d v="2015-06-30T21:06:08"/>
    <x v="26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x v="0"/>
    <n v="2"/>
    <x v="1"/>
    <s v="publishing/art books"/>
    <n v="1"/>
    <n v="27.5"/>
    <x v="3"/>
    <x v="25"/>
    <x v="1577"/>
    <d v="2012-07-24T20:20:48"/>
    <x v="14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x v="0"/>
    <n v="4"/>
    <x v="1"/>
    <s v="publishing/art books"/>
    <n v="11"/>
    <n v="51.25"/>
    <x v="3"/>
    <x v="25"/>
    <x v="1578"/>
    <d v="2010-09-02T02:00:00"/>
    <x v="476"/>
    <x v="7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x v="0"/>
    <n v="2"/>
    <x v="1"/>
    <s v="publishing/art books"/>
    <n v="1"/>
    <n v="14"/>
    <x v="3"/>
    <x v="25"/>
    <x v="1579"/>
    <d v="2013-08-28T23:54:51"/>
    <x v="17"/>
    <x v="4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x v="0"/>
    <n v="0"/>
    <x v="1"/>
    <s v="publishing/art books"/>
    <n v="0"/>
    <n v="0"/>
    <x v="3"/>
    <x v="25"/>
    <x v="1580"/>
    <d v="2012-05-21T01:12:06"/>
    <x v="14"/>
    <x v="5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x v="0"/>
    <n v="1"/>
    <x v="1"/>
    <s v="photography/places"/>
    <n v="1"/>
    <n v="5"/>
    <x v="8"/>
    <x v="26"/>
    <x v="1581"/>
    <d v="2015-12-19T10:46:30"/>
    <x v="114"/>
    <x v="0"/>
  </r>
  <r>
    <x v="1582"/>
    <s v="Scenes from New Orleans"/>
    <s v="I create canvas prints of images from in and around New Orleans"/>
    <x v="28"/>
    <x v="1085"/>
    <x v="2"/>
    <x v="0"/>
    <s v="USD"/>
    <n v="1445894400"/>
    <x v="1582"/>
    <x v="0"/>
    <n v="3"/>
    <x v="1"/>
    <s v="photography/places"/>
    <n v="9"/>
    <n v="31"/>
    <x v="8"/>
    <x v="26"/>
    <x v="1582"/>
    <d v="2015-10-26T21:20:00"/>
    <x v="477"/>
    <x v="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x v="0"/>
    <n v="1"/>
    <x v="1"/>
    <s v="photography/places"/>
    <n v="0"/>
    <n v="15"/>
    <x v="8"/>
    <x v="26"/>
    <x v="1583"/>
    <d v="2014-09-25T21:43:11"/>
    <x v="1"/>
    <x v="3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x v="0"/>
    <n v="0"/>
    <x v="1"/>
    <s v="photography/places"/>
    <n v="0"/>
    <n v="0"/>
    <x v="8"/>
    <x v="26"/>
    <x v="1584"/>
    <d v="2014-05-30T15:35:01"/>
    <x v="2"/>
    <x v="3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x v="0"/>
    <n v="12"/>
    <x v="1"/>
    <s v="photography/places"/>
    <n v="79"/>
    <n v="131.66999999999999"/>
    <x v="8"/>
    <x v="26"/>
    <x v="1585"/>
    <d v="2016-12-25T11:00:00"/>
    <x v="478"/>
    <x v="2"/>
  </r>
  <r>
    <x v="1586"/>
    <s v="Missouri In Pictures"/>
    <s v="Show the world the beauty that is in all of our back yards!"/>
    <x v="15"/>
    <x v="117"/>
    <x v="2"/>
    <x v="0"/>
    <s v="USD"/>
    <n v="1428197422"/>
    <x v="1586"/>
    <x v="0"/>
    <n v="0"/>
    <x v="1"/>
    <s v="photography/places"/>
    <n v="0"/>
    <n v="0"/>
    <x v="8"/>
    <x v="26"/>
    <x v="1586"/>
    <d v="2015-04-05T01:30:22"/>
    <x v="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x v="0"/>
    <n v="1"/>
    <x v="1"/>
    <s v="photography/places"/>
    <n v="0"/>
    <n v="1"/>
    <x v="8"/>
    <x v="26"/>
    <x v="1587"/>
    <d v="2014-12-13T22:49:25"/>
    <x v="1"/>
    <x v="3"/>
  </r>
  <r>
    <x v="1588"/>
    <s v="The Right Side of Texas"/>
    <s v="Southeast Texas as seen through the lens of a cell phone camera"/>
    <x v="274"/>
    <x v="117"/>
    <x v="2"/>
    <x v="0"/>
    <s v="USD"/>
    <n v="1422735120"/>
    <x v="1588"/>
    <x v="0"/>
    <n v="0"/>
    <x v="1"/>
    <s v="photography/places"/>
    <n v="0"/>
    <n v="0"/>
    <x v="8"/>
    <x v="26"/>
    <x v="1588"/>
    <d v="2015-01-31T20:12:00"/>
    <x v="479"/>
    <x v="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x v="0"/>
    <n v="0"/>
    <x v="1"/>
    <s v="photography/places"/>
    <n v="0"/>
    <n v="0"/>
    <x v="8"/>
    <x v="26"/>
    <x v="1589"/>
    <d v="2015-10-09T23:38:06"/>
    <x v="1"/>
    <x v="0"/>
  </r>
  <r>
    <x v="1590"/>
    <s v="An Italian Adventure"/>
    <s v="Discover Italy through photography."/>
    <x v="127"/>
    <x v="806"/>
    <x v="2"/>
    <x v="13"/>
    <s v="EUR"/>
    <n v="1443040464"/>
    <x v="1590"/>
    <x v="0"/>
    <n v="2"/>
    <x v="1"/>
    <s v="photography/places"/>
    <n v="2"/>
    <n v="510"/>
    <x v="8"/>
    <x v="26"/>
    <x v="1590"/>
    <d v="2015-09-23T20:34:24"/>
    <x v="1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x v="0"/>
    <n v="92"/>
    <x v="1"/>
    <s v="photography/places"/>
    <n v="29"/>
    <n v="44.48"/>
    <x v="8"/>
    <x v="26"/>
    <x v="1591"/>
    <d v="2016-04-03T16:25:41"/>
    <x v="22"/>
    <x v="2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x v="1592"/>
    <x v="0"/>
    <n v="0"/>
    <x v="1"/>
    <s v="photography/places"/>
    <n v="0"/>
    <n v="0"/>
    <x v="8"/>
    <x v="26"/>
    <x v="1592"/>
    <d v="2015-03-28T00:44:45"/>
    <x v="129"/>
    <x v="0"/>
  </r>
  <r>
    <x v="1593"/>
    <s v="Picturing Italy"/>
    <s v="A trip to fulfill a dream of capturing the wonders and history of ancient Italy in person."/>
    <x v="29"/>
    <x v="158"/>
    <x v="2"/>
    <x v="0"/>
    <s v="USD"/>
    <n v="1425154655"/>
    <x v="1593"/>
    <x v="0"/>
    <n v="3"/>
    <x v="1"/>
    <s v="photography/places"/>
    <n v="0"/>
    <n v="1"/>
    <x v="8"/>
    <x v="26"/>
    <x v="1593"/>
    <d v="2015-02-28T20:17:35"/>
    <x v="1"/>
    <x v="0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x v="0"/>
    <n v="10"/>
    <x v="1"/>
    <s v="photography/places"/>
    <n v="21"/>
    <n v="20.5"/>
    <x v="8"/>
    <x v="26"/>
    <x v="1594"/>
    <d v="2016-05-15T16:21:00"/>
    <x v="480"/>
    <x v="2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x v="0"/>
    <n v="7"/>
    <x v="1"/>
    <s v="photography/places"/>
    <n v="0"/>
    <n v="40"/>
    <x v="8"/>
    <x v="26"/>
    <x v="1595"/>
    <d v="2014-06-18T20:13:00"/>
    <x v="481"/>
    <x v="3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x v="0"/>
    <n v="3"/>
    <x v="1"/>
    <s v="photography/places"/>
    <n v="2"/>
    <n v="25"/>
    <x v="8"/>
    <x v="26"/>
    <x v="1596"/>
    <d v="2014-12-13T11:19:29"/>
    <x v="71"/>
    <x v="3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x v="0"/>
    <n v="0"/>
    <x v="1"/>
    <s v="photography/places"/>
    <n v="0"/>
    <n v="0"/>
    <x v="8"/>
    <x v="26"/>
    <x v="1597"/>
    <d v="2016-09-20T08:29:57"/>
    <x v="1"/>
    <x v="2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x v="0"/>
    <n v="1"/>
    <x v="1"/>
    <s v="photography/places"/>
    <n v="0"/>
    <n v="1"/>
    <x v="8"/>
    <x v="26"/>
    <x v="1598"/>
    <d v="2015-07-26T16:00:58"/>
    <x v="14"/>
    <x v="0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x v="0"/>
    <n v="0"/>
    <x v="1"/>
    <s v="photography/places"/>
    <n v="0"/>
    <n v="0"/>
    <x v="8"/>
    <x v="26"/>
    <x v="1599"/>
    <d v="2016-04-08T11:56:16"/>
    <x v="22"/>
    <x v="2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x v="0"/>
    <n v="9"/>
    <x v="1"/>
    <s v="photography/places"/>
    <n v="7"/>
    <n v="40.78"/>
    <x v="8"/>
    <x v="26"/>
    <x v="1600"/>
    <d v="2014-07-15T05:11:00"/>
    <x v="482"/>
    <x v="3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x v="0"/>
    <n v="56"/>
    <x v="0"/>
    <s v="music/rock"/>
    <n v="108"/>
    <n v="48.33"/>
    <x v="4"/>
    <x v="11"/>
    <x v="1601"/>
    <d v="2011-05-05T02:13:53"/>
    <x v="1"/>
    <x v="6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x v="0"/>
    <n v="32"/>
    <x v="0"/>
    <s v="music/rock"/>
    <n v="100"/>
    <n v="46.95"/>
    <x v="4"/>
    <x v="11"/>
    <x v="1602"/>
    <d v="2011-10-14T23:00:00"/>
    <x v="483"/>
    <x v="6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x v="1603"/>
    <x v="0"/>
    <n v="30"/>
    <x v="0"/>
    <s v="music/rock"/>
    <n v="100"/>
    <n v="66.69"/>
    <x v="4"/>
    <x v="11"/>
    <x v="1603"/>
    <d v="2012-01-28T04:04:19"/>
    <x v="14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x v="0"/>
    <n v="70"/>
    <x v="0"/>
    <s v="music/rock"/>
    <n v="122"/>
    <n v="48.84"/>
    <x v="4"/>
    <x v="11"/>
    <x v="1604"/>
    <d v="2012-03-17T19:17:15"/>
    <x v="136"/>
    <x v="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x v="0"/>
    <n v="44"/>
    <x v="0"/>
    <s v="music/rock"/>
    <n v="101"/>
    <n v="137.31"/>
    <x v="4"/>
    <x v="11"/>
    <x v="1605"/>
    <d v="2011-08-01T07:00:00"/>
    <x v="484"/>
    <x v="6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x v="0"/>
    <n v="92"/>
    <x v="0"/>
    <s v="music/rock"/>
    <n v="101"/>
    <n v="87.83"/>
    <x v="4"/>
    <x v="11"/>
    <x v="1606"/>
    <d v="2011-03-24T01:40:38"/>
    <x v="64"/>
    <x v="7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x v="0"/>
    <n v="205"/>
    <x v="0"/>
    <s v="music/rock"/>
    <n v="145"/>
    <n v="70.790000000000006"/>
    <x v="4"/>
    <x v="11"/>
    <x v="1607"/>
    <d v="2012-06-14T19:24:11"/>
    <x v="31"/>
    <x v="5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x v="0"/>
    <n v="23"/>
    <x v="0"/>
    <s v="music/rock"/>
    <n v="101"/>
    <n v="52.83"/>
    <x v="4"/>
    <x v="11"/>
    <x v="1608"/>
    <d v="2014-01-01T05:26:00"/>
    <x v="485"/>
    <x v="4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x v="0"/>
    <n v="4"/>
    <x v="0"/>
    <s v="music/rock"/>
    <n v="118"/>
    <n v="443.75"/>
    <x v="4"/>
    <x v="11"/>
    <x v="1609"/>
    <d v="2011-11-02T08:00:00"/>
    <x v="486"/>
    <x v="6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x v="0"/>
    <n v="112"/>
    <x v="0"/>
    <s v="music/rock"/>
    <n v="272"/>
    <n v="48.54"/>
    <x v="4"/>
    <x v="11"/>
    <x v="1610"/>
    <d v="2012-12-15T22:11:50"/>
    <x v="1"/>
    <x v="5"/>
  </r>
  <r>
    <x v="1611"/>
    <s v="Skelton-Luns CD/7&quot;             No Big Deal."/>
    <s v="Skelton-Luns CD/7&quot; No Big Deal."/>
    <x v="134"/>
    <x v="1099"/>
    <x v="0"/>
    <x v="0"/>
    <s v="USD"/>
    <n v="1370390432"/>
    <x v="1611"/>
    <x v="0"/>
    <n v="27"/>
    <x v="0"/>
    <s v="music/rock"/>
    <n v="125"/>
    <n v="37.07"/>
    <x v="4"/>
    <x v="11"/>
    <x v="1611"/>
    <d v="2013-06-05T00:00:32"/>
    <x v="31"/>
    <x v="4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x v="0"/>
    <n v="11"/>
    <x v="0"/>
    <s v="music/rock"/>
    <n v="110"/>
    <n v="50"/>
    <x v="4"/>
    <x v="11"/>
    <x v="1612"/>
    <d v="2013-01-02T20:59:44"/>
    <x v="1"/>
    <x v="5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x v="0"/>
    <n v="26"/>
    <x v="0"/>
    <s v="music/rock"/>
    <n v="102"/>
    <n v="39.04"/>
    <x v="4"/>
    <x v="11"/>
    <x v="1613"/>
    <d v="2012-07-22T01:40:02"/>
    <x v="1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x v="0"/>
    <n v="77"/>
    <x v="0"/>
    <s v="music/rock"/>
    <n v="103"/>
    <n v="66.69"/>
    <x v="4"/>
    <x v="11"/>
    <x v="1614"/>
    <d v="2014-08-03T17:00:00"/>
    <x v="487"/>
    <x v="3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x v="0"/>
    <n v="136"/>
    <x v="0"/>
    <s v="music/rock"/>
    <n v="114"/>
    <n v="67.13"/>
    <x v="4"/>
    <x v="11"/>
    <x v="1615"/>
    <d v="2011-12-13T02:13:16"/>
    <x v="71"/>
    <x v="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x v="0"/>
    <n v="157"/>
    <x v="0"/>
    <s v="music/rock"/>
    <n v="104"/>
    <n v="66.37"/>
    <x v="4"/>
    <x v="11"/>
    <x v="1616"/>
    <d v="2012-11-22T22:00:00"/>
    <x v="488"/>
    <x v="5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x v="0"/>
    <n v="158"/>
    <x v="0"/>
    <s v="music/rock"/>
    <n v="146"/>
    <n v="64.62"/>
    <x v="4"/>
    <x v="11"/>
    <x v="1617"/>
    <d v="2013-11-01T19:00:00"/>
    <x v="489"/>
    <x v="4"/>
  </r>
  <r>
    <x v="1618"/>
    <s v="Janus Word Album"/>
    <s v="Janus Word combines hard rock with melodic acoustic music for a unique and awesome sound."/>
    <x v="15"/>
    <x v="1105"/>
    <x v="0"/>
    <x v="0"/>
    <s v="USD"/>
    <n v="1362757335"/>
    <x v="1618"/>
    <x v="0"/>
    <n v="27"/>
    <x v="0"/>
    <s v="music/rock"/>
    <n v="105"/>
    <n v="58.37"/>
    <x v="4"/>
    <x v="11"/>
    <x v="1618"/>
    <d v="2013-03-08T15:42:15"/>
    <x v="4"/>
    <x v="4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x v="0"/>
    <n v="23"/>
    <x v="0"/>
    <s v="music/rock"/>
    <n v="133"/>
    <n v="86.96"/>
    <x v="4"/>
    <x v="11"/>
    <x v="1619"/>
    <d v="2014-09-15T04:28:06"/>
    <x v="31"/>
    <x v="3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x v="1620"/>
    <x v="0"/>
    <n v="17"/>
    <x v="0"/>
    <s v="music/rock"/>
    <n v="113"/>
    <n v="66.47"/>
    <x v="4"/>
    <x v="11"/>
    <x v="1620"/>
    <d v="2013-02-23T08:09:00"/>
    <x v="354"/>
    <x v="4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x v="0"/>
    <n v="37"/>
    <x v="0"/>
    <s v="music/rock"/>
    <n v="121"/>
    <n v="163.78"/>
    <x v="4"/>
    <x v="11"/>
    <x v="1621"/>
    <d v="2012-05-28T03:59:00"/>
    <x v="490"/>
    <x v="5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x v="0"/>
    <n v="65"/>
    <x v="0"/>
    <s v="music/rock"/>
    <n v="102"/>
    <n v="107.98"/>
    <x v="4"/>
    <x v="11"/>
    <x v="1622"/>
    <d v="2014-12-17T07:59:00"/>
    <x v="182"/>
    <x v="3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x v="0"/>
    <n v="18"/>
    <x v="0"/>
    <s v="music/rock"/>
    <n v="101"/>
    <n v="42.11"/>
    <x v="4"/>
    <x v="11"/>
    <x v="1623"/>
    <d v="2013-08-27T16:31:29"/>
    <x v="14"/>
    <x v="4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x v="0"/>
    <n v="25"/>
    <x v="0"/>
    <s v="music/rock"/>
    <n v="118"/>
    <n v="47.2"/>
    <x v="4"/>
    <x v="11"/>
    <x v="1624"/>
    <d v="2013-01-09T08:48:55"/>
    <x v="4"/>
    <x v="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x v="0"/>
    <n v="104"/>
    <x v="0"/>
    <s v="music/rock"/>
    <n v="155"/>
    <n v="112.02"/>
    <x v="4"/>
    <x v="11"/>
    <x v="1625"/>
    <d v="2012-09-11T16:47:33"/>
    <x v="240"/>
    <x v="5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x v="0"/>
    <n v="108"/>
    <x v="0"/>
    <s v="music/rock"/>
    <n v="101"/>
    <n v="74.95"/>
    <x v="4"/>
    <x v="11"/>
    <x v="1626"/>
    <d v="2013-12-01T21:21:07"/>
    <x v="13"/>
    <x v="4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x v="0"/>
    <n v="38"/>
    <x v="0"/>
    <s v="music/rock"/>
    <n v="117"/>
    <n v="61.58"/>
    <x v="4"/>
    <x v="11"/>
    <x v="1627"/>
    <d v="2012-11-26T04:59:00"/>
    <x v="491"/>
    <x v="5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x v="0"/>
    <n v="88"/>
    <x v="0"/>
    <s v="music/rock"/>
    <n v="101"/>
    <n v="45.88"/>
    <x v="4"/>
    <x v="11"/>
    <x v="1628"/>
    <d v="2014-06-17T17:41:22"/>
    <x v="17"/>
    <x v="3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x v="0"/>
    <n v="82"/>
    <x v="0"/>
    <s v="music/rock"/>
    <n v="104"/>
    <n v="75.849999999999994"/>
    <x v="4"/>
    <x v="11"/>
    <x v="1629"/>
    <d v="2014-02-20T20:48:53"/>
    <x v="26"/>
    <x v="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x v="0"/>
    <n v="126"/>
    <x v="0"/>
    <s v="music/rock"/>
    <n v="265"/>
    <n v="84.21"/>
    <x v="4"/>
    <x v="11"/>
    <x v="1630"/>
    <d v="2012-03-02T06:59:00"/>
    <x v="380"/>
    <x v="5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x v="0"/>
    <n v="133"/>
    <x v="0"/>
    <s v="music/rock"/>
    <n v="156"/>
    <n v="117.23"/>
    <x v="4"/>
    <x v="11"/>
    <x v="1631"/>
    <d v="2012-10-12T20:37:41"/>
    <x v="1"/>
    <x v="5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x v="0"/>
    <n v="47"/>
    <x v="0"/>
    <s v="music/rock"/>
    <n v="102"/>
    <n v="86.49"/>
    <x v="4"/>
    <x v="11"/>
    <x v="1632"/>
    <d v="2011-09-24T08:10:54"/>
    <x v="14"/>
    <x v="6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x v="0"/>
    <n v="58"/>
    <x v="0"/>
    <s v="music/rock"/>
    <n v="100"/>
    <n v="172.41"/>
    <x v="4"/>
    <x v="11"/>
    <x v="1633"/>
    <d v="2012-01-16T05:00:00"/>
    <x v="492"/>
    <x v="6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x v="0"/>
    <n v="32"/>
    <x v="0"/>
    <s v="music/rock"/>
    <n v="101"/>
    <n v="62.81"/>
    <x v="4"/>
    <x v="11"/>
    <x v="1634"/>
    <d v="2011-06-02T05:59:00"/>
    <x v="493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x v="0"/>
    <n v="37"/>
    <x v="0"/>
    <s v="music/rock"/>
    <n v="125"/>
    <n v="67.73"/>
    <x v="4"/>
    <x v="11"/>
    <x v="1635"/>
    <d v="2016-07-11T20:51:01"/>
    <x v="14"/>
    <x v="2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x v="0"/>
    <n v="87"/>
    <x v="0"/>
    <s v="music/rock"/>
    <n v="104"/>
    <n v="53.56"/>
    <x v="4"/>
    <x v="11"/>
    <x v="1636"/>
    <d v="2011-06-12T04:00:00"/>
    <x v="494"/>
    <x v="6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x v="0"/>
    <n v="15"/>
    <x v="0"/>
    <s v="music/rock"/>
    <n v="104"/>
    <n v="34.6"/>
    <x v="4"/>
    <x v="11"/>
    <x v="1637"/>
    <d v="2009-12-31T23:39:00"/>
    <x v="495"/>
    <x v="8"/>
  </r>
  <r>
    <x v="1638"/>
    <s v="Avenues EP 2013"/>
    <s v="Avenues will be going in to the studio to record a new EP with Matt Allison!"/>
    <x v="28"/>
    <x v="1121"/>
    <x v="0"/>
    <x v="0"/>
    <s v="USD"/>
    <n v="1362086700"/>
    <x v="1638"/>
    <x v="0"/>
    <n v="27"/>
    <x v="0"/>
    <s v="music/rock"/>
    <n v="105"/>
    <n v="38.89"/>
    <x v="4"/>
    <x v="11"/>
    <x v="1638"/>
    <d v="2013-02-28T21:25:00"/>
    <x v="343"/>
    <x v="4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x v="0"/>
    <n v="19"/>
    <x v="0"/>
    <s v="music/rock"/>
    <n v="100"/>
    <n v="94.74"/>
    <x v="4"/>
    <x v="11"/>
    <x v="1639"/>
    <d v="2012-03-03T15:39:25"/>
    <x v="1"/>
    <x v="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x v="0"/>
    <n v="17"/>
    <x v="0"/>
    <s v="music/rock"/>
    <n v="170"/>
    <n v="39.97"/>
    <x v="4"/>
    <x v="11"/>
    <x v="1640"/>
    <d v="2010-08-03T01:59:00"/>
    <x v="496"/>
    <x v="7"/>
  </r>
  <r>
    <x v="1641"/>
    <s v="Tanya Dartson- Run for Your Life music video"/>
    <s v="Music Video For Upbeat and Inspiring Song - Run For Your Life"/>
    <x v="30"/>
    <x v="535"/>
    <x v="0"/>
    <x v="0"/>
    <s v="USD"/>
    <n v="1418998744"/>
    <x v="1641"/>
    <x v="0"/>
    <n v="26"/>
    <x v="0"/>
    <s v="music/pop"/>
    <n v="101"/>
    <n v="97.5"/>
    <x v="4"/>
    <x v="27"/>
    <x v="1641"/>
    <d v="2014-12-19T14:19:04"/>
    <x v="1"/>
    <x v="3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x v="0"/>
    <n v="28"/>
    <x v="0"/>
    <s v="music/pop"/>
    <n v="100"/>
    <n v="42.86"/>
    <x v="4"/>
    <x v="27"/>
    <x v="1642"/>
    <d v="2011-06-14T00:35:27"/>
    <x v="51"/>
    <x v="6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x v="0"/>
    <n v="37"/>
    <x v="0"/>
    <s v="music/pop"/>
    <n v="125"/>
    <n v="168.51"/>
    <x v="4"/>
    <x v="27"/>
    <x v="1643"/>
    <d v="2012-09-24T19:46:52"/>
    <x v="1"/>
    <x v="5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x v="0"/>
    <n v="128"/>
    <x v="0"/>
    <s v="music/pop"/>
    <n v="110"/>
    <n v="85.55"/>
    <x v="4"/>
    <x v="27"/>
    <x v="1644"/>
    <d v="2012-11-22T02:26:00"/>
    <x v="27"/>
    <x v="5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x v="0"/>
    <n v="10"/>
    <x v="0"/>
    <s v="music/pop"/>
    <n v="111"/>
    <n v="554"/>
    <x v="4"/>
    <x v="27"/>
    <x v="1645"/>
    <d v="2013-09-18T14:49:00"/>
    <x v="59"/>
    <x v="4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x v="0"/>
    <n v="83"/>
    <x v="0"/>
    <s v="music/pop"/>
    <n v="110"/>
    <n v="26.55"/>
    <x v="4"/>
    <x v="27"/>
    <x v="1646"/>
    <d v="2014-08-14T18:11:00"/>
    <x v="497"/>
    <x v="3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x v="0"/>
    <n v="46"/>
    <x v="0"/>
    <s v="music/pop"/>
    <n v="105"/>
    <n v="113.83"/>
    <x v="4"/>
    <x v="27"/>
    <x v="1647"/>
    <d v="2012-06-09T09:49:37"/>
    <x v="1"/>
    <x v="5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x v="0"/>
    <n v="90"/>
    <x v="0"/>
    <s v="music/pop"/>
    <n v="125"/>
    <n v="32.01"/>
    <x v="4"/>
    <x v="27"/>
    <x v="1648"/>
    <d v="2011-03-20T15:54:42"/>
    <x v="22"/>
    <x v="6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x v="0"/>
    <n v="81"/>
    <x v="0"/>
    <s v="music/pop"/>
    <n v="101"/>
    <n v="47.19"/>
    <x v="4"/>
    <x v="27"/>
    <x v="1649"/>
    <d v="2014-05-23T16:25:55"/>
    <x v="26"/>
    <x v="3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x v="0"/>
    <n v="32"/>
    <x v="0"/>
    <s v="music/pop"/>
    <n v="142"/>
    <n v="88.47"/>
    <x v="4"/>
    <x v="27"/>
    <x v="1650"/>
    <d v="2013-10-09T10:27:17"/>
    <x v="1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x v="0"/>
    <n v="20"/>
    <x v="0"/>
    <s v="music/pop"/>
    <n v="101"/>
    <n v="100.75"/>
    <x v="4"/>
    <x v="27"/>
    <x v="1651"/>
    <d v="2011-04-26T06:59:00"/>
    <x v="498"/>
    <x v="6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x v="0"/>
    <n v="70"/>
    <x v="0"/>
    <s v="music/pop"/>
    <n v="101"/>
    <n v="64.709999999999994"/>
    <x v="4"/>
    <x v="27"/>
    <x v="1652"/>
    <d v="2013-11-24T12:49:53"/>
    <x v="13"/>
    <x v="4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x v="0"/>
    <n v="168"/>
    <x v="0"/>
    <s v="music/pop"/>
    <n v="174"/>
    <n v="51.85"/>
    <x v="4"/>
    <x v="27"/>
    <x v="1653"/>
    <d v="2011-04-24T20:01:36"/>
    <x v="102"/>
    <x v="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x v="0"/>
    <n v="34"/>
    <x v="0"/>
    <s v="music/pop"/>
    <n v="120"/>
    <n v="38.79"/>
    <x v="4"/>
    <x v="27"/>
    <x v="1654"/>
    <d v="2012-04-18T21:22:40"/>
    <x v="1"/>
    <x v="5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x v="1655"/>
    <x v="0"/>
    <n v="48"/>
    <x v="0"/>
    <s v="music/pop"/>
    <n v="143"/>
    <n v="44.65"/>
    <x v="4"/>
    <x v="27"/>
    <x v="1655"/>
    <d v="2012-04-05T18:00:20"/>
    <x v="22"/>
    <x v="5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x v="0"/>
    <n v="48"/>
    <x v="0"/>
    <s v="music/pop"/>
    <n v="100"/>
    <n v="156.77000000000001"/>
    <x v="4"/>
    <x v="27"/>
    <x v="1656"/>
    <d v="2012-12-13T22:17:32"/>
    <x v="1"/>
    <x v="5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x v="0"/>
    <n v="221"/>
    <x v="0"/>
    <s v="music/pop"/>
    <n v="105"/>
    <n v="118.7"/>
    <x v="4"/>
    <x v="27"/>
    <x v="1657"/>
    <d v="2012-05-24T18:46:08"/>
    <x v="1"/>
    <x v="5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x v="0"/>
    <n v="107"/>
    <x v="0"/>
    <s v="music/pop"/>
    <n v="132"/>
    <n v="74.150000000000006"/>
    <x v="4"/>
    <x v="27"/>
    <x v="1658"/>
    <d v="2012-12-18T14:20:00"/>
    <x v="499"/>
    <x v="5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x v="0"/>
    <n v="45"/>
    <x v="0"/>
    <s v="music/pop"/>
    <n v="113"/>
    <n v="12.53"/>
    <x v="4"/>
    <x v="27"/>
    <x v="1659"/>
    <d v="2013-12-17T12:00:00"/>
    <x v="500"/>
    <x v="4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x v="0"/>
    <n v="36"/>
    <x v="0"/>
    <s v="music/pop"/>
    <n v="1254"/>
    <n v="27.86"/>
    <x v="4"/>
    <x v="27"/>
    <x v="1660"/>
    <d v="2016-04-30T21:59:00"/>
    <x v="501"/>
    <x v="2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x v="0"/>
    <n v="101"/>
    <x v="0"/>
    <s v="music/pop"/>
    <n v="103"/>
    <n v="80.180000000000007"/>
    <x v="4"/>
    <x v="27"/>
    <x v="1661"/>
    <d v="2016-01-17T21:00:00"/>
    <x v="502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x v="0"/>
    <n v="62"/>
    <x v="0"/>
    <s v="music/pop"/>
    <n v="103"/>
    <n v="132.44"/>
    <x v="4"/>
    <x v="27"/>
    <x v="1662"/>
    <d v="2011-12-31T05:45:36"/>
    <x v="27"/>
    <x v="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x v="0"/>
    <n v="32"/>
    <x v="0"/>
    <s v="music/pop"/>
    <n v="108"/>
    <n v="33.75"/>
    <x v="4"/>
    <x v="27"/>
    <x v="1663"/>
    <d v="2015-02-01T00:31:47"/>
    <x v="1"/>
    <x v="0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x v="0"/>
    <n v="89"/>
    <x v="0"/>
    <s v="music/pop"/>
    <n v="122"/>
    <n v="34.380000000000003"/>
    <x v="4"/>
    <x v="27"/>
    <x v="1664"/>
    <d v="2012-03-16T03:59:00"/>
    <x v="503"/>
    <x v="5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x v="0"/>
    <n v="93"/>
    <x v="0"/>
    <s v="music/pop"/>
    <n v="119"/>
    <n v="44.96"/>
    <x v="4"/>
    <x v="27"/>
    <x v="1665"/>
    <d v="2011-02-22T03:00:00"/>
    <x v="313"/>
    <x v="6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x v="0"/>
    <n v="98"/>
    <x v="0"/>
    <s v="music/pop"/>
    <n v="161"/>
    <n v="41.04"/>
    <x v="4"/>
    <x v="27"/>
    <x v="1666"/>
    <d v="2013-03-28T05:04:33"/>
    <x v="22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x v="0"/>
    <n v="82"/>
    <x v="0"/>
    <s v="music/pop"/>
    <n v="127"/>
    <n v="52.6"/>
    <x v="4"/>
    <x v="27"/>
    <x v="1667"/>
    <d v="2014-03-11T06:59:00"/>
    <x v="504"/>
    <x v="3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x v="0"/>
    <n v="116"/>
    <x v="0"/>
    <s v="music/pop"/>
    <n v="103"/>
    <n v="70.78"/>
    <x v="4"/>
    <x v="27"/>
    <x v="1668"/>
    <d v="2011-11-28T04:35:39"/>
    <x v="13"/>
    <x v="6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x v="0"/>
    <n v="52"/>
    <x v="0"/>
    <s v="music/pop"/>
    <n v="140"/>
    <n v="53.75"/>
    <x v="4"/>
    <x v="27"/>
    <x v="1669"/>
    <d v="2016-05-31T21:14:36"/>
    <x v="14"/>
    <x v="2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x v="0"/>
    <n v="23"/>
    <x v="0"/>
    <s v="music/pop"/>
    <n v="103"/>
    <n v="44.61"/>
    <x v="4"/>
    <x v="27"/>
    <x v="1670"/>
    <d v="2010-07-05T04:00:00"/>
    <x v="505"/>
    <x v="7"/>
  </r>
  <r>
    <x v="1671"/>
    <s v="Luke O'Brien's Kickstarter"/>
    <s v="I am seeking funding in order to help take my music from a hobby to a career."/>
    <x v="13"/>
    <x v="1150"/>
    <x v="0"/>
    <x v="0"/>
    <s v="USD"/>
    <n v="1470056614"/>
    <x v="1671"/>
    <x v="0"/>
    <n v="77"/>
    <x v="0"/>
    <s v="music/pop"/>
    <n v="101"/>
    <n v="26.15"/>
    <x v="4"/>
    <x v="27"/>
    <x v="1671"/>
    <d v="2016-08-01T13:03:34"/>
    <x v="1"/>
    <x v="2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x v="0"/>
    <n v="49"/>
    <x v="0"/>
    <s v="music/pop"/>
    <n v="113"/>
    <n v="39.18"/>
    <x v="4"/>
    <x v="27"/>
    <x v="1672"/>
    <d v="2012-06-04T15:45:30"/>
    <x v="1"/>
    <x v="5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x v="0"/>
    <n v="59"/>
    <x v="0"/>
    <s v="music/pop"/>
    <n v="128"/>
    <n v="45.59"/>
    <x v="4"/>
    <x v="27"/>
    <x v="1673"/>
    <d v="2015-03-06T21:04:52"/>
    <x v="1"/>
    <x v="0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x v="0"/>
    <n v="113"/>
    <x v="0"/>
    <s v="music/pop"/>
    <n v="202"/>
    <n v="89.25"/>
    <x v="4"/>
    <x v="27"/>
    <x v="1674"/>
    <d v="2016-08-18T06:59:00"/>
    <x v="506"/>
    <x v="2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x v="0"/>
    <n v="34"/>
    <x v="0"/>
    <s v="music/pop"/>
    <n v="137"/>
    <n v="40.42"/>
    <x v="4"/>
    <x v="27"/>
    <x v="1675"/>
    <d v="2011-10-16T22:03:00"/>
    <x v="507"/>
    <x v="6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x v="0"/>
    <n v="42"/>
    <x v="0"/>
    <s v="music/pop"/>
    <n v="115"/>
    <n v="82.38"/>
    <x v="4"/>
    <x v="27"/>
    <x v="1676"/>
    <d v="2012-04-21T03:59:00"/>
    <x v="508"/>
    <x v="5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x v="0"/>
    <n v="42"/>
    <x v="0"/>
    <s v="music/pop"/>
    <n v="112"/>
    <n v="159.52000000000001"/>
    <x v="4"/>
    <x v="27"/>
    <x v="1677"/>
    <d v="2016-04-16T05:59:00"/>
    <x v="509"/>
    <x v="2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x v="0"/>
    <n v="49"/>
    <x v="0"/>
    <s v="music/pop"/>
    <n v="118"/>
    <n v="36.24"/>
    <x v="4"/>
    <x v="27"/>
    <x v="1678"/>
    <d v="2014-02-06T20:31:11"/>
    <x v="59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x v="0"/>
    <n v="56"/>
    <x v="0"/>
    <s v="music/pop"/>
    <n v="175"/>
    <n v="62.5"/>
    <x v="4"/>
    <x v="27"/>
    <x v="1679"/>
    <d v="2011-07-22T01:39:05"/>
    <x v="56"/>
    <x v="6"/>
  </r>
  <r>
    <x v="1680"/>
    <s v="Kick Out a Record"/>
    <s v="Working Musician dilemma #164: how the taxman put Kick the Record 2.0 on hold"/>
    <x v="28"/>
    <x v="1156"/>
    <x v="0"/>
    <x v="0"/>
    <s v="USD"/>
    <n v="1405188667"/>
    <x v="1680"/>
    <x v="0"/>
    <n v="25"/>
    <x v="0"/>
    <s v="music/pop"/>
    <n v="118"/>
    <n v="47"/>
    <x v="4"/>
    <x v="27"/>
    <x v="1680"/>
    <d v="2014-07-12T18:11:07"/>
    <x v="1"/>
    <x v="3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x v="0"/>
    <n v="884"/>
    <x v="1"/>
    <s v="music/faith"/>
    <n v="101"/>
    <n v="74.58"/>
    <x v="4"/>
    <x v="28"/>
    <x v="1681"/>
    <d v="2017-03-29T02:00:00"/>
    <x v="391"/>
    <x v="1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x v="0"/>
    <n v="0"/>
    <x v="1"/>
    <s v="music/faith"/>
    <n v="0"/>
    <n v="0"/>
    <x v="4"/>
    <x v="28"/>
    <x v="1682"/>
    <d v="2017-04-14T04:07:40"/>
    <x v="80"/>
    <x v="1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x v="0"/>
    <n v="10"/>
    <x v="1"/>
    <s v="music/faith"/>
    <n v="22"/>
    <n v="76"/>
    <x v="4"/>
    <x v="28"/>
    <x v="1683"/>
    <d v="2017-04-07T18:45:38"/>
    <x v="55"/>
    <x v="1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x v="0"/>
    <n v="101"/>
    <x v="1"/>
    <s v="music/faith"/>
    <n v="109"/>
    <n v="86.44"/>
    <x v="4"/>
    <x v="28"/>
    <x v="1684"/>
    <d v="2017-03-17T18:34:01"/>
    <x v="296"/>
    <x v="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x v="0"/>
    <n v="15"/>
    <x v="1"/>
    <s v="music/faith"/>
    <n v="103"/>
    <n v="24"/>
    <x v="4"/>
    <x v="28"/>
    <x v="1685"/>
    <d v="2017-03-24T05:00:23"/>
    <x v="22"/>
    <x v="1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x v="0"/>
    <n v="1"/>
    <x v="1"/>
    <s v="music/faith"/>
    <n v="0"/>
    <n v="18"/>
    <x v="4"/>
    <x v="28"/>
    <x v="1686"/>
    <d v="2017-04-27T19:15:19"/>
    <x v="80"/>
    <x v="1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x v="0"/>
    <n v="39"/>
    <x v="1"/>
    <s v="music/faith"/>
    <n v="31"/>
    <n v="80.13"/>
    <x v="4"/>
    <x v="28"/>
    <x v="1687"/>
    <d v="2017-04-10T20:15:00"/>
    <x v="510"/>
    <x v="1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x v="0"/>
    <n v="7"/>
    <x v="1"/>
    <s v="music/faith"/>
    <n v="44"/>
    <n v="253.14"/>
    <x v="4"/>
    <x v="28"/>
    <x v="1688"/>
    <d v="2017-04-09T11:49:54"/>
    <x v="22"/>
    <x v="1"/>
  </r>
  <r>
    <x v="1689"/>
    <s v="Fly Away"/>
    <s v="Praising the Living God in the second half of life."/>
    <x v="262"/>
    <x v="1162"/>
    <x v="3"/>
    <x v="0"/>
    <s v="USD"/>
    <n v="1489700230"/>
    <x v="1689"/>
    <x v="0"/>
    <n v="14"/>
    <x v="1"/>
    <s v="music/faith"/>
    <n v="100"/>
    <n v="171.43"/>
    <x v="4"/>
    <x v="28"/>
    <x v="1689"/>
    <d v="2017-03-16T21:37:10"/>
    <x v="22"/>
    <x v="1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x v="0"/>
    <n v="11"/>
    <x v="1"/>
    <s v="music/faith"/>
    <n v="25"/>
    <n v="57.73"/>
    <x v="4"/>
    <x v="28"/>
    <x v="1690"/>
    <d v="2017-04-06T09:20:42"/>
    <x v="22"/>
    <x v="1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x v="0"/>
    <n v="38"/>
    <x v="1"/>
    <s v="music/faith"/>
    <n v="33"/>
    <n v="264.26"/>
    <x v="4"/>
    <x v="28"/>
    <x v="1691"/>
    <d v="2017-04-03T01:00:00"/>
    <x v="378"/>
    <x v="1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x v="0"/>
    <n v="15"/>
    <x v="1"/>
    <s v="music/faith"/>
    <n v="48"/>
    <n v="159.33000000000001"/>
    <x v="4"/>
    <x v="28"/>
    <x v="1692"/>
    <d v="2017-03-26T23:59:00"/>
    <x v="511"/>
    <x v="1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x v="0"/>
    <n v="8"/>
    <x v="1"/>
    <s v="music/faith"/>
    <n v="9"/>
    <n v="35"/>
    <x v="4"/>
    <x v="28"/>
    <x v="1693"/>
    <d v="2017-04-09T20:00:00"/>
    <x v="23"/>
    <x v="1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x v="0"/>
    <n v="1"/>
    <x v="1"/>
    <s v="music/faith"/>
    <n v="0"/>
    <n v="5"/>
    <x v="4"/>
    <x v="28"/>
    <x v="1694"/>
    <d v="2017-03-27T04:36:00"/>
    <x v="512"/>
    <x v="1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x v="0"/>
    <n v="23"/>
    <x v="1"/>
    <s v="music/faith"/>
    <n v="12"/>
    <n v="61.09"/>
    <x v="4"/>
    <x v="28"/>
    <x v="1695"/>
    <d v="2017-04-10T01:00:00"/>
    <x v="513"/>
    <x v="1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x v="0"/>
    <n v="0"/>
    <x v="1"/>
    <s v="music/faith"/>
    <n v="0"/>
    <n v="0"/>
    <x v="4"/>
    <x v="28"/>
    <x v="1696"/>
    <d v="2017-04-01T00:40:11"/>
    <x v="22"/>
    <x v="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x v="0"/>
    <n v="22"/>
    <x v="1"/>
    <s v="music/faith"/>
    <n v="20"/>
    <n v="114.82"/>
    <x v="4"/>
    <x v="28"/>
    <x v="1697"/>
    <d v="2017-04-09T23:47:28"/>
    <x v="22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x v="0"/>
    <n v="0"/>
    <x v="1"/>
    <s v="music/faith"/>
    <n v="0"/>
    <n v="0"/>
    <x v="4"/>
    <x v="28"/>
    <x v="1698"/>
    <d v="2017-03-26T03:33:00"/>
    <x v="514"/>
    <x v="1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x v="0"/>
    <n v="4"/>
    <x v="1"/>
    <s v="music/faith"/>
    <n v="4"/>
    <n v="54"/>
    <x v="4"/>
    <x v="28"/>
    <x v="1699"/>
    <d v="2017-04-11T20:44:05"/>
    <x v="1"/>
    <x v="1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x v="0"/>
    <n v="79"/>
    <x v="1"/>
    <s v="music/faith"/>
    <n v="26"/>
    <n v="65.97"/>
    <x v="4"/>
    <x v="28"/>
    <x v="1700"/>
    <d v="2017-04-01T04:00:00"/>
    <x v="515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x v="0"/>
    <n v="2"/>
    <x v="1"/>
    <s v="music/faith"/>
    <n v="0"/>
    <n v="5"/>
    <x v="4"/>
    <x v="28"/>
    <x v="1701"/>
    <d v="2015-01-15T15:56:45"/>
    <x v="1"/>
    <x v="3"/>
  </r>
  <r>
    <x v="1702"/>
    <s v="lyndale lewis and new vision prosper cd release"/>
    <s v="I can do all things through christ jesus"/>
    <x v="281"/>
    <x v="116"/>
    <x v="2"/>
    <x v="0"/>
    <s v="USD"/>
    <n v="1427745150"/>
    <x v="1702"/>
    <x v="0"/>
    <n v="1"/>
    <x v="1"/>
    <s v="music/faith"/>
    <n v="0"/>
    <n v="1"/>
    <x v="4"/>
    <x v="28"/>
    <x v="1702"/>
    <d v="2015-03-30T19:52:30"/>
    <x v="22"/>
    <x v="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x v="0"/>
    <n v="2"/>
    <x v="1"/>
    <s v="music/faith"/>
    <n v="1"/>
    <n v="25.5"/>
    <x v="4"/>
    <x v="28"/>
    <x v="1703"/>
    <d v="2015-08-31T06:45:37"/>
    <x v="14"/>
    <x v="0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x v="0"/>
    <n v="11"/>
    <x v="1"/>
    <s v="music/faith"/>
    <n v="65"/>
    <n v="118.36"/>
    <x v="4"/>
    <x v="28"/>
    <x v="1704"/>
    <d v="2015-02-16T03:21:13"/>
    <x v="1"/>
    <x v="0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x v="0"/>
    <n v="0"/>
    <x v="1"/>
    <s v="music/faith"/>
    <n v="0"/>
    <n v="0"/>
    <x v="4"/>
    <x v="28"/>
    <x v="1705"/>
    <d v="2015-09-09T16:00:00"/>
    <x v="516"/>
    <x v="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x v="0"/>
    <n v="0"/>
    <x v="1"/>
    <s v="music/faith"/>
    <n v="0"/>
    <n v="0"/>
    <x v="4"/>
    <x v="28"/>
    <x v="1706"/>
    <d v="2015-08-23T07:21:12"/>
    <x v="14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x v="0"/>
    <n v="9"/>
    <x v="1"/>
    <s v="music/faith"/>
    <n v="10"/>
    <n v="54.11"/>
    <x v="4"/>
    <x v="28"/>
    <x v="1707"/>
    <d v="2016-03-28T16:18:15"/>
    <x v="22"/>
    <x v="2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x v="0"/>
    <n v="0"/>
    <x v="1"/>
    <s v="music/faith"/>
    <n v="0"/>
    <n v="0"/>
    <x v="4"/>
    <x v="28"/>
    <x v="1708"/>
    <d v="2016-05-01T20:48:26"/>
    <x v="4"/>
    <x v="2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x v="0"/>
    <n v="4"/>
    <x v="1"/>
    <s v="music/faith"/>
    <n v="5"/>
    <n v="21.25"/>
    <x v="4"/>
    <x v="28"/>
    <x v="1709"/>
    <d v="2014-08-31T19:39:00"/>
    <x v="517"/>
    <x v="3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x v="0"/>
    <n v="1"/>
    <x v="1"/>
    <s v="music/faith"/>
    <n v="1"/>
    <n v="34"/>
    <x v="4"/>
    <x v="28"/>
    <x v="1710"/>
    <d v="2016-01-18T13:00:00"/>
    <x v="518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x v="0"/>
    <n v="2"/>
    <x v="1"/>
    <s v="music/faith"/>
    <n v="11"/>
    <n v="525"/>
    <x v="4"/>
    <x v="28"/>
    <x v="1711"/>
    <d v="2014-09-01T15:30:34"/>
    <x v="102"/>
    <x v="3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x v="0"/>
    <n v="0"/>
    <x v="1"/>
    <s v="music/faith"/>
    <n v="0"/>
    <n v="0"/>
    <x v="4"/>
    <x v="28"/>
    <x v="1712"/>
    <d v="2015-06-30T21:55:53"/>
    <x v="14"/>
    <x v="0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x v="0"/>
    <n v="1"/>
    <x v="1"/>
    <s v="music/faith"/>
    <n v="2"/>
    <n v="50"/>
    <x v="4"/>
    <x v="28"/>
    <x v="1713"/>
    <d v="2014-10-05T19:13:32"/>
    <x v="1"/>
    <x v="3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x v="0"/>
    <n v="17"/>
    <x v="1"/>
    <s v="music/faith"/>
    <n v="8"/>
    <n v="115.71"/>
    <x v="4"/>
    <x v="28"/>
    <x v="1714"/>
    <d v="2015-05-01T22:02:41"/>
    <x v="1"/>
    <x v="0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x v="0"/>
    <n v="2"/>
    <x v="1"/>
    <s v="music/faith"/>
    <n v="0"/>
    <n v="5.5"/>
    <x v="4"/>
    <x v="28"/>
    <x v="1715"/>
    <d v="2015-03-31T03:22:00"/>
    <x v="72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x v="0"/>
    <n v="3"/>
    <x v="1"/>
    <s v="music/faith"/>
    <n v="8"/>
    <n v="50"/>
    <x v="4"/>
    <x v="28"/>
    <x v="1716"/>
    <d v="2016-12-09T14:51:39"/>
    <x v="182"/>
    <x v="2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x v="0"/>
    <n v="41"/>
    <x v="1"/>
    <s v="music/faith"/>
    <n v="43"/>
    <n v="34.020000000000003"/>
    <x v="4"/>
    <x v="28"/>
    <x v="1717"/>
    <d v="2016-04-21T04:00:00"/>
    <x v="519"/>
    <x v="2"/>
  </r>
  <r>
    <x v="1718"/>
    <s v="The Prodigal Son"/>
    <s v="A melody for the galaxy."/>
    <x v="19"/>
    <x v="735"/>
    <x v="2"/>
    <x v="0"/>
    <s v="USD"/>
    <n v="1463201940"/>
    <x v="1718"/>
    <x v="0"/>
    <n v="2"/>
    <x v="1"/>
    <s v="music/faith"/>
    <n v="0"/>
    <n v="37.5"/>
    <x v="4"/>
    <x v="28"/>
    <x v="1718"/>
    <d v="2016-05-14T04:59:00"/>
    <x v="520"/>
    <x v="2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x v="0"/>
    <n v="3"/>
    <x v="1"/>
    <s v="music/faith"/>
    <n v="1"/>
    <n v="11.67"/>
    <x v="4"/>
    <x v="28"/>
    <x v="1719"/>
    <d v="2014-09-17T12:49:51"/>
    <x v="1"/>
    <x v="3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x v="0"/>
    <n v="8"/>
    <x v="1"/>
    <s v="music/faith"/>
    <n v="6"/>
    <n v="28.13"/>
    <x v="4"/>
    <x v="28"/>
    <x v="1720"/>
    <d v="2014-11-09T19:47:51"/>
    <x v="13"/>
    <x v="3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x v="0"/>
    <n v="0"/>
    <x v="1"/>
    <s v="music/faith"/>
    <n v="0"/>
    <n v="0"/>
    <x v="4"/>
    <x v="28"/>
    <x v="1721"/>
    <d v="2015-12-11T11:04:23"/>
    <x v="1"/>
    <x v="0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x v="0"/>
    <n v="1"/>
    <x v="1"/>
    <s v="music/faith"/>
    <n v="0"/>
    <n v="1"/>
    <x v="4"/>
    <x v="28"/>
    <x v="1722"/>
    <d v="2016-04-03T00:10:00"/>
    <x v="521"/>
    <x v="2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x v="0"/>
    <n v="3"/>
    <x v="1"/>
    <s v="music/faith"/>
    <n v="7"/>
    <n v="216.67"/>
    <x v="4"/>
    <x v="28"/>
    <x v="1723"/>
    <d v="2015-07-01T06:00:00"/>
    <x v="522"/>
    <x v="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x v="0"/>
    <n v="4"/>
    <x v="1"/>
    <s v="music/faith"/>
    <n v="1"/>
    <n v="8.75"/>
    <x v="4"/>
    <x v="28"/>
    <x v="1724"/>
    <d v="2014-10-30T22:22:42"/>
    <x v="1"/>
    <x v="3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x v="0"/>
    <n v="9"/>
    <x v="1"/>
    <s v="music/faith"/>
    <n v="10"/>
    <n v="62.22"/>
    <x v="4"/>
    <x v="28"/>
    <x v="1725"/>
    <d v="2014-08-24T23:14:09"/>
    <x v="1"/>
    <x v="3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x v="0"/>
    <n v="16"/>
    <x v="1"/>
    <s v="music/faith"/>
    <n v="34"/>
    <n v="137.25"/>
    <x v="4"/>
    <x v="28"/>
    <x v="1726"/>
    <d v="2014-06-27T22:04:24"/>
    <x v="229"/>
    <x v="3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x v="0"/>
    <n v="1"/>
    <x v="1"/>
    <s v="music/faith"/>
    <n v="0"/>
    <n v="1"/>
    <x v="4"/>
    <x v="28"/>
    <x v="1727"/>
    <d v="2015-04-05T11:00:00"/>
    <x v="523"/>
    <x v="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x v="0"/>
    <n v="7"/>
    <x v="1"/>
    <s v="music/faith"/>
    <n v="68"/>
    <n v="122.14"/>
    <x v="4"/>
    <x v="28"/>
    <x v="1728"/>
    <d v="2015-10-21T15:01:14"/>
    <x v="1"/>
    <x v="0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x v="0"/>
    <n v="0"/>
    <x v="1"/>
    <s v="music/faith"/>
    <n v="0"/>
    <n v="0"/>
    <x v="4"/>
    <x v="28"/>
    <x v="1729"/>
    <d v="2016-06-10T01:15:06"/>
    <x v="14"/>
    <x v="2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x v="0"/>
    <n v="0"/>
    <x v="1"/>
    <s v="music/faith"/>
    <n v="0"/>
    <n v="0"/>
    <x v="4"/>
    <x v="28"/>
    <x v="1730"/>
    <d v="2015-10-25T02:06:23"/>
    <x v="1"/>
    <x v="0"/>
  </r>
  <r>
    <x v="1731"/>
    <s v="Sam Cox Band First Christian Tour"/>
    <s v="We are a Christin Worship band looking to midwest tour. God Bless!"/>
    <x v="28"/>
    <x v="117"/>
    <x v="2"/>
    <x v="0"/>
    <s v="USD"/>
    <n v="1434034800"/>
    <x v="1731"/>
    <x v="0"/>
    <n v="0"/>
    <x v="1"/>
    <s v="music/faith"/>
    <n v="0"/>
    <n v="0"/>
    <x v="4"/>
    <x v="28"/>
    <x v="1731"/>
    <d v="2015-06-11T15:00:00"/>
    <x v="524"/>
    <x v="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x v="0"/>
    <n v="0"/>
    <x v="1"/>
    <s v="music/faith"/>
    <n v="0"/>
    <n v="0"/>
    <x v="4"/>
    <x v="28"/>
    <x v="1732"/>
    <d v="2016-01-16T05:00:00"/>
    <x v="525"/>
    <x v="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x v="0"/>
    <n v="0"/>
    <x v="1"/>
    <s v="music/faith"/>
    <n v="0"/>
    <n v="0"/>
    <x v="4"/>
    <x v="28"/>
    <x v="1733"/>
    <d v="2016-09-13T21:30:00"/>
    <x v="526"/>
    <x v="2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x v="0"/>
    <n v="1"/>
    <x v="1"/>
    <s v="music/faith"/>
    <n v="0"/>
    <n v="1"/>
    <x v="4"/>
    <x v="28"/>
    <x v="1734"/>
    <d v="2015-05-08T00:52:36"/>
    <x v="1"/>
    <x v="0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x v="0"/>
    <n v="2"/>
    <x v="1"/>
    <s v="music/faith"/>
    <n v="11"/>
    <n v="55"/>
    <x v="4"/>
    <x v="28"/>
    <x v="1735"/>
    <d v="2016-08-07T19:32:25"/>
    <x v="1"/>
    <x v="2"/>
  </r>
  <r>
    <x v="1736"/>
    <s v="In His Presence"/>
    <s v="A unique meditative album reflecting on the life of Christ, inviting Him into your presence"/>
    <x v="9"/>
    <x v="1178"/>
    <x v="2"/>
    <x v="0"/>
    <s v="USD"/>
    <n v="1447018833"/>
    <x v="1736"/>
    <x v="0"/>
    <n v="1"/>
    <x v="1"/>
    <s v="music/faith"/>
    <n v="1"/>
    <n v="22"/>
    <x v="4"/>
    <x v="28"/>
    <x v="1736"/>
    <d v="2015-11-08T21:40:33"/>
    <x v="13"/>
    <x v="0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x v="0"/>
    <n v="15"/>
    <x v="1"/>
    <s v="music/faith"/>
    <n v="21"/>
    <n v="56.67"/>
    <x v="4"/>
    <x v="28"/>
    <x v="1737"/>
    <d v="2015-07-20T22:46:32"/>
    <x v="1"/>
    <x v="0"/>
  </r>
  <r>
    <x v="1738"/>
    <s v="The Flashing Lights"/>
    <s v="Music that inspires and gives hope for overcoming and change. And it is good music."/>
    <x v="10"/>
    <x v="170"/>
    <x v="2"/>
    <x v="0"/>
    <s v="USD"/>
    <n v="1412283542"/>
    <x v="1738"/>
    <x v="0"/>
    <n v="1"/>
    <x v="1"/>
    <s v="music/faith"/>
    <n v="0"/>
    <n v="20"/>
    <x v="4"/>
    <x v="28"/>
    <x v="1738"/>
    <d v="2014-10-02T20:59:02"/>
    <x v="1"/>
    <x v="3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x v="0"/>
    <n v="1"/>
    <x v="1"/>
    <s v="music/faith"/>
    <n v="0"/>
    <n v="1"/>
    <x v="4"/>
    <x v="28"/>
    <x v="1739"/>
    <d v="2016-05-04T19:58:52"/>
    <x v="527"/>
    <x v="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x v="0"/>
    <n v="0"/>
    <x v="1"/>
    <s v="music/faith"/>
    <n v="0"/>
    <n v="0"/>
    <x v="4"/>
    <x v="28"/>
    <x v="1740"/>
    <d v="2015-07-16T19:37:02"/>
    <x v="1"/>
    <x v="0"/>
  </r>
  <r>
    <x v="1741"/>
    <s v="Caught off Guard"/>
    <s v="A photo journal documenting my experiences and travels across New Zealand"/>
    <x v="38"/>
    <x v="414"/>
    <x v="0"/>
    <x v="1"/>
    <s v="GBP"/>
    <n v="1433948671"/>
    <x v="1741"/>
    <x v="0"/>
    <n v="52"/>
    <x v="0"/>
    <s v="photography/photobooks"/>
    <n v="111"/>
    <n v="25.58"/>
    <x v="8"/>
    <x v="20"/>
    <x v="1741"/>
    <d v="2015-06-10T15:04:31"/>
    <x v="26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x v="0"/>
    <n v="34"/>
    <x v="0"/>
    <s v="photography/photobooks"/>
    <n v="109"/>
    <n v="63.97"/>
    <x v="8"/>
    <x v="20"/>
    <x v="1742"/>
    <d v="2017-01-07T21:00:00"/>
    <x v="114"/>
    <x v="2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x v="0"/>
    <n v="67"/>
    <x v="0"/>
    <s v="photography/photobooks"/>
    <n v="100"/>
    <n v="89.93"/>
    <x v="8"/>
    <x v="20"/>
    <x v="1743"/>
    <d v="2016-08-27T03:59:00"/>
    <x v="528"/>
    <x v="2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x v="0"/>
    <n v="70"/>
    <x v="0"/>
    <s v="photography/photobooks"/>
    <n v="118"/>
    <n v="93.07"/>
    <x v="8"/>
    <x v="20"/>
    <x v="1744"/>
    <d v="2015-03-08T13:31:17"/>
    <x v="129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x v="0"/>
    <n v="89"/>
    <x v="0"/>
    <s v="photography/photobooks"/>
    <n v="114"/>
    <n v="89.67"/>
    <x v="8"/>
    <x v="20"/>
    <x v="1745"/>
    <d v="2016-12-22T02:00:00"/>
    <x v="529"/>
    <x v="2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x v="0"/>
    <n v="107"/>
    <x v="0"/>
    <s v="photography/photobooks"/>
    <n v="148"/>
    <n v="207.62"/>
    <x v="8"/>
    <x v="20"/>
    <x v="1746"/>
    <d v="2016-11-24T02:00:00"/>
    <x v="530"/>
    <x v="2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x v="0"/>
    <n v="159"/>
    <x v="0"/>
    <s v="photography/photobooks"/>
    <n v="105"/>
    <n v="59.41"/>
    <x v="8"/>
    <x v="20"/>
    <x v="1747"/>
    <d v="2015-11-13T15:00:00"/>
    <x v="531"/>
    <x v="0"/>
  </r>
  <r>
    <x v="1748"/>
    <s v="So It Is: Vancouver"/>
    <s v="Telling the story of the city through remarkable people who live in Vancouver today."/>
    <x v="63"/>
    <x v="1184"/>
    <x v="0"/>
    <x v="5"/>
    <s v="CAD"/>
    <n v="1441234143"/>
    <x v="1748"/>
    <x v="0"/>
    <n v="181"/>
    <x v="0"/>
    <s v="photography/photobooks"/>
    <n v="130"/>
    <n v="358.97"/>
    <x v="8"/>
    <x v="20"/>
    <x v="1748"/>
    <d v="2015-09-02T22:49:03"/>
    <x v="1"/>
    <x v="0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x v="0"/>
    <n v="131"/>
    <x v="0"/>
    <s v="photography/photobooks"/>
    <n v="123"/>
    <n v="94.74"/>
    <x v="8"/>
    <x v="20"/>
    <x v="1749"/>
    <d v="2017-03-01T19:00:00"/>
    <x v="532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x v="0"/>
    <n v="125"/>
    <x v="0"/>
    <s v="photography/photobooks"/>
    <n v="202"/>
    <n v="80.650000000000006"/>
    <x v="8"/>
    <x v="20"/>
    <x v="1750"/>
    <d v="2016-04-19T20:05:04"/>
    <x v="36"/>
    <x v="2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x v="0"/>
    <n v="61"/>
    <x v="0"/>
    <s v="photography/photobooks"/>
    <n v="103"/>
    <n v="168.69"/>
    <x v="8"/>
    <x v="20"/>
    <x v="1751"/>
    <d v="2015-03-19T17:45:23"/>
    <x v="22"/>
    <x v="0"/>
  </r>
  <r>
    <x v="1752"/>
    <s v="Adfectus Book"/>
    <s v="A little book of calm, in picture form, that will soothe the soul and un-furrow the brow."/>
    <x v="38"/>
    <x v="1188"/>
    <x v="0"/>
    <x v="1"/>
    <s v="GBP"/>
    <n v="1476425082"/>
    <x v="1752"/>
    <x v="0"/>
    <n v="90"/>
    <x v="0"/>
    <s v="photography/photobooks"/>
    <n v="260"/>
    <n v="34.69"/>
    <x v="8"/>
    <x v="20"/>
    <x v="1752"/>
    <d v="2016-10-14T06:04:42"/>
    <x v="1"/>
    <x v="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x v="0"/>
    <n v="35"/>
    <x v="0"/>
    <s v="photography/photobooks"/>
    <n v="108"/>
    <n v="462.86"/>
    <x v="8"/>
    <x v="20"/>
    <x v="1753"/>
    <d v="2016-03-21T16:59:28"/>
    <x v="22"/>
    <x v="2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x v="0"/>
    <n v="90"/>
    <x v="0"/>
    <s v="photography/photobooks"/>
    <n v="111"/>
    <n v="104.39"/>
    <x v="8"/>
    <x v="20"/>
    <x v="1754"/>
    <d v="2015-04-03T20:02:33"/>
    <x v="22"/>
    <x v="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x v="0"/>
    <n v="4"/>
    <x v="0"/>
    <s v="photography/photobooks"/>
    <n v="120"/>
    <n v="7.5"/>
    <x v="8"/>
    <x v="20"/>
    <x v="1755"/>
    <d v="2015-10-05T18:56:01"/>
    <x v="1"/>
    <x v="0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x v="0"/>
    <n v="120"/>
    <x v="0"/>
    <s v="photography/photobooks"/>
    <n v="103"/>
    <n v="47.13"/>
    <x v="8"/>
    <x v="20"/>
    <x v="1756"/>
    <d v="2016-08-29T04:01:09"/>
    <x v="4"/>
    <x v="2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x v="0"/>
    <n v="14"/>
    <x v="0"/>
    <s v="photography/photobooks"/>
    <n v="116"/>
    <n v="414.29"/>
    <x v="8"/>
    <x v="20"/>
    <x v="1757"/>
    <d v="2017-01-28T19:29:00"/>
    <x v="533"/>
    <x v="2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x v="0"/>
    <n v="27"/>
    <x v="0"/>
    <s v="photography/photobooks"/>
    <n v="115"/>
    <n v="42.48"/>
    <x v="8"/>
    <x v="20"/>
    <x v="1758"/>
    <d v="2016-07-14T22:56:32"/>
    <x v="14"/>
    <x v="2"/>
  </r>
  <r>
    <x v="1759"/>
    <s v="Death Valley"/>
    <s v="Death Valley will be the first photo book of Andi State"/>
    <x v="10"/>
    <x v="1194"/>
    <x v="0"/>
    <x v="0"/>
    <s v="USD"/>
    <n v="1427309629"/>
    <x v="1759"/>
    <x v="0"/>
    <n v="49"/>
    <x v="0"/>
    <s v="photography/photobooks"/>
    <n v="107"/>
    <n v="108.78"/>
    <x v="8"/>
    <x v="20"/>
    <x v="1759"/>
    <d v="2015-03-25T18:53:49"/>
    <x v="138"/>
    <x v="0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x v="0"/>
    <n v="102"/>
    <x v="0"/>
    <s v="photography/photobooks"/>
    <n v="165"/>
    <n v="81.099999999999994"/>
    <x v="8"/>
    <x v="20"/>
    <x v="1760"/>
    <d v="2016-02-25T16:08:33"/>
    <x v="51"/>
    <x v="2"/>
  </r>
  <r>
    <x v="1761"/>
    <s v="I Wanted To See Boobs"/>
    <s v="A hardcover photobook telling the naked truth of a young photographers journey."/>
    <x v="213"/>
    <x v="1196"/>
    <x v="0"/>
    <x v="1"/>
    <s v="GBP"/>
    <n v="1442065060"/>
    <x v="1761"/>
    <x v="0"/>
    <n v="3"/>
    <x v="0"/>
    <s v="photography/photobooks"/>
    <n v="155"/>
    <n v="51.67"/>
    <x v="8"/>
    <x v="20"/>
    <x v="1761"/>
    <d v="2015-09-12T13:37:40"/>
    <x v="76"/>
    <x v="0"/>
  </r>
  <r>
    <x v="1762"/>
    <s v="&quot;The Naked Pixel&quot; Ali Pakele"/>
    <s v="Project rewards $25 gets you 190+ digital images"/>
    <x v="213"/>
    <x v="1197"/>
    <x v="0"/>
    <x v="0"/>
    <s v="USD"/>
    <n v="1457739245"/>
    <x v="1762"/>
    <x v="0"/>
    <n v="25"/>
    <x v="0"/>
    <s v="photography/photobooks"/>
    <n v="885"/>
    <n v="35.4"/>
    <x v="8"/>
    <x v="20"/>
    <x v="1762"/>
    <d v="2016-03-11T23:34:05"/>
    <x v="1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x v="0"/>
    <n v="118"/>
    <x v="0"/>
    <s v="photography/photobooks"/>
    <n v="102"/>
    <n v="103.64"/>
    <x v="8"/>
    <x v="20"/>
    <x v="1763"/>
    <d v="2016-10-23T20:50:40"/>
    <x v="1"/>
    <x v="2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x v="1"/>
    <n v="39"/>
    <x v="1"/>
    <s v="photography/photobooks"/>
    <n v="20"/>
    <n v="55.28"/>
    <x v="8"/>
    <x v="20"/>
    <x v="1764"/>
    <d v="2014-08-03T11:39:39"/>
    <x v="229"/>
    <x v="3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x v="1"/>
    <n v="103"/>
    <x v="1"/>
    <s v="photography/photobooks"/>
    <n v="59"/>
    <n v="72.17"/>
    <x v="8"/>
    <x v="20"/>
    <x v="1765"/>
    <d v="2014-08-13T23:31:52"/>
    <x v="1"/>
    <x v="3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x v="1"/>
    <n v="0"/>
    <x v="1"/>
    <s v="photography/photobooks"/>
    <n v="0"/>
    <n v="0"/>
    <x v="8"/>
    <x v="20"/>
    <x v="1766"/>
    <d v="2014-08-25T20:38:08"/>
    <x v="31"/>
    <x v="3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x v="1"/>
    <n v="39"/>
    <x v="1"/>
    <s v="photography/photobooks"/>
    <n v="46"/>
    <n v="58.62"/>
    <x v="8"/>
    <x v="20"/>
    <x v="1767"/>
    <d v="2014-08-03T15:48:04"/>
    <x v="1"/>
    <x v="3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x v="1"/>
    <n v="15"/>
    <x v="1"/>
    <s v="photography/photobooks"/>
    <n v="4"/>
    <n v="12.47"/>
    <x v="8"/>
    <x v="20"/>
    <x v="1768"/>
    <d v="2014-09-27T13:27:24"/>
    <x v="14"/>
    <x v="3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x v="1"/>
    <n v="22"/>
    <x v="1"/>
    <s v="photography/photobooks"/>
    <n v="3"/>
    <n v="49.14"/>
    <x v="8"/>
    <x v="20"/>
    <x v="1769"/>
    <d v="2015-01-13T19:39:19"/>
    <x v="1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x v="1"/>
    <n v="92"/>
    <x v="1"/>
    <s v="photography/photobooks"/>
    <n v="57"/>
    <n v="150.5"/>
    <x v="8"/>
    <x v="20"/>
    <x v="1770"/>
    <d v="2014-10-14T18:43:14"/>
    <x v="6"/>
    <x v="3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x v="1"/>
    <n v="25"/>
    <x v="1"/>
    <s v="photography/photobooks"/>
    <n v="21"/>
    <n v="35.799999999999997"/>
    <x v="8"/>
    <x v="20"/>
    <x v="1771"/>
    <d v="2014-10-23T23:30:40"/>
    <x v="1"/>
    <x v="3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x v="1772"/>
    <x v="1"/>
    <n v="19"/>
    <x v="1"/>
    <s v="photography/photobooks"/>
    <n v="16"/>
    <n v="45.16"/>
    <x v="8"/>
    <x v="20"/>
    <x v="1772"/>
    <d v="2014-07-06T17:13:56"/>
    <x v="14"/>
    <x v="3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x v="1"/>
    <n v="19"/>
    <x v="1"/>
    <s v="photography/photobooks"/>
    <n v="6"/>
    <n v="98.79"/>
    <x v="8"/>
    <x v="20"/>
    <x v="1773"/>
    <d v="2015-01-19T18:14:58"/>
    <x v="26"/>
    <x v="3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x v="1"/>
    <n v="13"/>
    <x v="1"/>
    <s v="photography/photobooks"/>
    <n v="46"/>
    <n v="88.31"/>
    <x v="8"/>
    <x v="20"/>
    <x v="1774"/>
    <d v="2014-11-29T14:59:00"/>
    <x v="534"/>
    <x v="3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x v="1"/>
    <n v="124"/>
    <x v="1"/>
    <s v="photography/photobooks"/>
    <n v="65"/>
    <n v="170.63"/>
    <x v="8"/>
    <x v="20"/>
    <x v="1775"/>
    <d v="2014-10-24T23:26:00"/>
    <x v="26"/>
    <x v="3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x v="1"/>
    <n v="4"/>
    <x v="1"/>
    <s v="photography/photobooks"/>
    <n v="7"/>
    <n v="83.75"/>
    <x v="8"/>
    <x v="20"/>
    <x v="1776"/>
    <d v="2014-10-29T22:57:51"/>
    <x v="232"/>
    <x v="3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x v="1"/>
    <n v="10"/>
    <x v="1"/>
    <s v="photography/photobooks"/>
    <n v="14"/>
    <n v="65.099999999999994"/>
    <x v="8"/>
    <x v="20"/>
    <x v="1777"/>
    <d v="2015-02-20T08:34:13"/>
    <x v="1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x v="1"/>
    <n v="15"/>
    <x v="1"/>
    <s v="photography/photobooks"/>
    <n v="2"/>
    <n v="66.33"/>
    <x v="8"/>
    <x v="20"/>
    <x v="1778"/>
    <d v="2015-03-27T19:43:15"/>
    <x v="129"/>
    <x v="0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x v="1"/>
    <n v="38"/>
    <x v="1"/>
    <s v="photography/photobooks"/>
    <n v="36"/>
    <n v="104.89"/>
    <x v="8"/>
    <x v="20"/>
    <x v="1779"/>
    <d v="2016-09-02T16:36:20"/>
    <x v="1"/>
    <x v="2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x v="1"/>
    <n v="152"/>
    <x v="1"/>
    <s v="photography/photobooks"/>
    <n v="40"/>
    <n v="78.44"/>
    <x v="8"/>
    <x v="20"/>
    <x v="1780"/>
    <d v="2016-07-02T14:25:10"/>
    <x v="14"/>
    <x v="2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x v="1"/>
    <n v="24"/>
    <x v="1"/>
    <s v="photography/photobooks"/>
    <n v="26"/>
    <n v="59.04"/>
    <x v="8"/>
    <x v="20"/>
    <x v="1781"/>
    <d v="2016-09-15T14:49:05"/>
    <x v="102"/>
    <x v="2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x v="1"/>
    <n v="76"/>
    <x v="1"/>
    <s v="photography/photobooks"/>
    <n v="15"/>
    <n v="71.34"/>
    <x v="8"/>
    <x v="20"/>
    <x v="1782"/>
    <d v="2016-02-21T13:48:09"/>
    <x v="17"/>
    <x v="2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x v="1"/>
    <n v="185"/>
    <x v="1"/>
    <s v="photography/photobooks"/>
    <n v="24"/>
    <n v="51.23"/>
    <x v="8"/>
    <x v="20"/>
    <x v="1783"/>
    <d v="2015-05-21T22:47:58"/>
    <x v="1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x v="1"/>
    <n v="33"/>
    <x v="1"/>
    <s v="photography/photobooks"/>
    <n v="40"/>
    <n v="60.24"/>
    <x v="8"/>
    <x v="20"/>
    <x v="1784"/>
    <d v="2015-01-31T03:25:00"/>
    <x v="535"/>
    <x v="3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x v="1"/>
    <n v="108"/>
    <x v="1"/>
    <s v="photography/photobooks"/>
    <n v="20"/>
    <n v="44.94"/>
    <x v="8"/>
    <x v="20"/>
    <x v="1785"/>
    <d v="2014-10-16T00:00:00"/>
    <x v="536"/>
    <x v="3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x v="1"/>
    <n v="29"/>
    <x v="1"/>
    <s v="photography/photobooks"/>
    <n v="48"/>
    <n v="31.21"/>
    <x v="8"/>
    <x v="20"/>
    <x v="1786"/>
    <d v="2014-12-15T13:12:57"/>
    <x v="1"/>
    <x v="3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x v="1"/>
    <n v="24"/>
    <x v="1"/>
    <s v="photography/photobooks"/>
    <n v="15"/>
    <n v="63.88"/>
    <x v="8"/>
    <x v="20"/>
    <x v="1787"/>
    <d v="2015-04-04T14:43:57"/>
    <x v="22"/>
    <x v="0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x v="1"/>
    <n v="4"/>
    <x v="1"/>
    <s v="photography/photobooks"/>
    <n v="1"/>
    <n v="19"/>
    <x v="8"/>
    <x v="20"/>
    <x v="1788"/>
    <d v="2014-10-31T22:45:42"/>
    <x v="1"/>
    <x v="3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x v="1"/>
    <n v="4"/>
    <x v="1"/>
    <s v="photography/photobooks"/>
    <n v="1"/>
    <n v="10"/>
    <x v="8"/>
    <x v="20"/>
    <x v="1789"/>
    <d v="2015-01-12T06:00:03"/>
    <x v="14"/>
    <x v="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x v="1"/>
    <n v="15"/>
    <x v="1"/>
    <s v="photography/photobooks"/>
    <n v="5"/>
    <n v="109.07"/>
    <x v="8"/>
    <x v="20"/>
    <x v="1790"/>
    <d v="2015-02-05T16:11:18"/>
    <x v="1"/>
    <x v="0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x v="1791"/>
    <x v="1"/>
    <n v="4"/>
    <x v="1"/>
    <s v="photography/photobooks"/>
    <n v="4"/>
    <n v="26.75"/>
    <x v="8"/>
    <x v="20"/>
    <x v="1791"/>
    <d v="2015-01-29T17:46:05"/>
    <x v="14"/>
    <x v="3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x v="1"/>
    <n v="139"/>
    <x v="1"/>
    <s v="photography/photobooks"/>
    <n v="61"/>
    <n v="109.94"/>
    <x v="8"/>
    <x v="20"/>
    <x v="1792"/>
    <d v="2015-08-10T06:59:00"/>
    <x v="537"/>
    <x v="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x v="1"/>
    <n v="2"/>
    <x v="1"/>
    <s v="photography/photobooks"/>
    <n v="1"/>
    <n v="20"/>
    <x v="8"/>
    <x v="20"/>
    <x v="1793"/>
    <d v="2014-11-27T22:24:00"/>
    <x v="13"/>
    <x v="3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x v="1"/>
    <n v="18"/>
    <x v="1"/>
    <s v="photography/photobooks"/>
    <n v="11"/>
    <n v="55.39"/>
    <x v="8"/>
    <x v="20"/>
    <x v="1794"/>
    <d v="2015-02-11T13:13:42"/>
    <x v="6"/>
    <x v="0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x v="1"/>
    <n v="81"/>
    <x v="1"/>
    <s v="photography/photobooks"/>
    <n v="39"/>
    <n v="133.9"/>
    <x v="8"/>
    <x v="20"/>
    <x v="1795"/>
    <d v="2016-10-14T16:00:00"/>
    <x v="538"/>
    <x v="2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x v="1"/>
    <n v="86"/>
    <x v="1"/>
    <s v="photography/photobooks"/>
    <n v="22"/>
    <n v="48.72"/>
    <x v="8"/>
    <x v="20"/>
    <x v="1796"/>
    <d v="2016-07-24T10:32:46"/>
    <x v="14"/>
    <x v="2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x v="1"/>
    <n v="140"/>
    <x v="1"/>
    <s v="photography/photobooks"/>
    <n v="68"/>
    <n v="48.25"/>
    <x v="8"/>
    <x v="20"/>
    <x v="1797"/>
    <d v="2016-12-15T13:39:49"/>
    <x v="1"/>
    <x v="2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x v="1"/>
    <n v="37"/>
    <x v="1"/>
    <s v="photography/photobooks"/>
    <n v="14"/>
    <n v="58.97"/>
    <x v="8"/>
    <x v="20"/>
    <x v="1798"/>
    <d v="2016-02-04T07:50:33"/>
    <x v="14"/>
    <x v="0"/>
  </r>
  <r>
    <x v="1799"/>
    <s v="The UnDiscovered Image"/>
    <s v="The UnDiscovered Image, a monthly publication dedicated to photographers."/>
    <x v="23"/>
    <x v="1227"/>
    <x v="2"/>
    <x v="1"/>
    <s v="GBP"/>
    <n v="1415740408"/>
    <x v="1799"/>
    <x v="1"/>
    <n v="6"/>
    <x v="1"/>
    <s v="photography/photobooks"/>
    <n v="2"/>
    <n v="11.64"/>
    <x v="8"/>
    <x v="20"/>
    <x v="1799"/>
    <d v="2014-11-11T21:13:28"/>
    <x v="54"/>
    <x v="3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x v="1"/>
    <n v="113"/>
    <x v="1"/>
    <s v="photography/photobooks"/>
    <n v="20"/>
    <n v="83.72"/>
    <x v="8"/>
    <x v="20"/>
    <x v="1800"/>
    <d v="2016-10-10T14:32:50"/>
    <x v="1"/>
    <x v="2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x v="1"/>
    <n v="37"/>
    <x v="1"/>
    <s v="photography/photobooks"/>
    <n v="14"/>
    <n v="63.65"/>
    <x v="8"/>
    <x v="20"/>
    <x v="1801"/>
    <d v="2015-12-15T12:10:00"/>
    <x v="539"/>
    <x v="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x v="1802"/>
    <x v="1"/>
    <n v="18"/>
    <x v="1"/>
    <s v="photography/photobooks"/>
    <n v="48"/>
    <n v="94.28"/>
    <x v="8"/>
    <x v="20"/>
    <x v="1802"/>
    <d v="2015-06-27T21:59:00"/>
    <x v="540"/>
    <x v="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x v="1"/>
    <n v="75"/>
    <x v="1"/>
    <s v="photography/photobooks"/>
    <n v="31"/>
    <n v="71.87"/>
    <x v="8"/>
    <x v="20"/>
    <x v="1803"/>
    <d v="2015-02-14T01:43:02"/>
    <x v="102"/>
    <x v="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x v="1"/>
    <n v="52"/>
    <x v="1"/>
    <s v="photography/photobooks"/>
    <n v="35"/>
    <n v="104.85"/>
    <x v="8"/>
    <x v="20"/>
    <x v="1804"/>
    <d v="2015-11-14T17:16:44"/>
    <x v="182"/>
    <x v="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x v="1"/>
    <n v="122"/>
    <x v="1"/>
    <s v="photography/photobooks"/>
    <n v="36"/>
    <n v="67.14"/>
    <x v="8"/>
    <x v="20"/>
    <x v="1805"/>
    <d v="2015-10-02T18:00:00"/>
    <x v="541"/>
    <x v="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x v="1"/>
    <n v="8"/>
    <x v="1"/>
    <s v="photography/photobooks"/>
    <n v="3"/>
    <n v="73.88"/>
    <x v="8"/>
    <x v="20"/>
    <x v="1806"/>
    <d v="2014-09-30T15:19:09"/>
    <x v="6"/>
    <x v="3"/>
  </r>
  <r>
    <x v="1807"/>
    <s v="Anywhere but Here"/>
    <s v="I want to explore alternative cultures and lifestyles in America."/>
    <x v="10"/>
    <x v="503"/>
    <x v="2"/>
    <x v="0"/>
    <s v="USD"/>
    <n v="1411868313"/>
    <x v="1807"/>
    <x v="1"/>
    <n v="8"/>
    <x v="1"/>
    <s v="photography/photobooks"/>
    <n v="11"/>
    <n v="69.13"/>
    <x v="8"/>
    <x v="20"/>
    <x v="1807"/>
    <d v="2014-09-28T01:38:33"/>
    <x v="1"/>
    <x v="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x v="1"/>
    <n v="96"/>
    <x v="1"/>
    <s v="photography/photobooks"/>
    <n v="41"/>
    <n v="120.77"/>
    <x v="8"/>
    <x v="20"/>
    <x v="1808"/>
    <d v="2017-02-11T16:20:30"/>
    <x v="6"/>
    <x v="1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x v="1"/>
    <n v="9"/>
    <x v="1"/>
    <s v="photography/photobooks"/>
    <n v="11"/>
    <n v="42.22"/>
    <x v="8"/>
    <x v="20"/>
    <x v="1809"/>
    <d v="2015-03-01T21:47:19"/>
    <x v="6"/>
    <x v="0"/>
  </r>
  <r>
    <x v="1810"/>
    <s v="Film Speed"/>
    <s v="Film Speed is a series of Zines focusing on architecture shot completely on 35 and 120mm film."/>
    <x v="52"/>
    <x v="493"/>
    <x v="2"/>
    <x v="0"/>
    <s v="USD"/>
    <n v="1408657826"/>
    <x v="1810"/>
    <x v="0"/>
    <n v="2"/>
    <x v="1"/>
    <s v="photography/photobooks"/>
    <n v="3"/>
    <n v="7.5"/>
    <x v="8"/>
    <x v="20"/>
    <x v="1810"/>
    <d v="2014-08-21T21:50:26"/>
    <x v="542"/>
    <x v="3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x v="0"/>
    <n v="26"/>
    <x v="1"/>
    <s v="photography/photobooks"/>
    <n v="0"/>
    <n v="1.54"/>
    <x v="8"/>
    <x v="20"/>
    <x v="1811"/>
    <d v="2014-10-24T04:00:00"/>
    <x v="487"/>
    <x v="3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x v="0"/>
    <n v="23"/>
    <x v="1"/>
    <s v="photography/photobooks"/>
    <n v="13"/>
    <n v="37.61"/>
    <x v="8"/>
    <x v="20"/>
    <x v="1812"/>
    <d v="2016-07-03T07:38:56"/>
    <x v="1"/>
    <x v="2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x v="0"/>
    <n v="0"/>
    <x v="1"/>
    <s v="photography/photobooks"/>
    <n v="0"/>
    <n v="0"/>
    <x v="8"/>
    <x v="20"/>
    <x v="1813"/>
    <d v="2014-08-08T21:20:12"/>
    <x v="1"/>
    <x v="3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x v="0"/>
    <n v="140"/>
    <x v="1"/>
    <s v="photography/photobooks"/>
    <n v="49"/>
    <n v="42.16"/>
    <x v="8"/>
    <x v="20"/>
    <x v="1814"/>
    <d v="2015-02-28T07:32:16"/>
    <x v="1"/>
    <x v="0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x v="0"/>
    <n v="0"/>
    <x v="1"/>
    <s v="photography/photobooks"/>
    <n v="0"/>
    <n v="0"/>
    <x v="8"/>
    <x v="20"/>
    <x v="1815"/>
    <d v="2015-07-01T21:45:37"/>
    <x v="59"/>
    <x v="0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x v="0"/>
    <n v="6"/>
    <x v="1"/>
    <s v="photography/photobooks"/>
    <n v="2"/>
    <n v="84.83"/>
    <x v="8"/>
    <x v="20"/>
    <x v="1816"/>
    <d v="2016-07-25T19:00:00"/>
    <x v="543"/>
    <x v="2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x v="0"/>
    <n v="100"/>
    <x v="1"/>
    <s v="photography/photobooks"/>
    <n v="52"/>
    <n v="94.19"/>
    <x v="8"/>
    <x v="20"/>
    <x v="1817"/>
    <d v="2017-01-30T06:59:00"/>
    <x v="544"/>
    <x v="2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x v="0"/>
    <n v="0"/>
    <x v="1"/>
    <s v="photography/photobooks"/>
    <n v="0"/>
    <n v="0"/>
    <x v="8"/>
    <x v="20"/>
    <x v="1818"/>
    <d v="2015-04-03T04:37:30"/>
    <x v="22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x v="0"/>
    <n v="4"/>
    <x v="1"/>
    <s v="photography/photobooks"/>
    <n v="2"/>
    <n v="6.25"/>
    <x v="8"/>
    <x v="20"/>
    <x v="1819"/>
    <d v="2014-07-30T18:03:16"/>
    <x v="1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x v="0"/>
    <n v="8"/>
    <x v="1"/>
    <s v="photography/photobooks"/>
    <n v="7"/>
    <n v="213.38"/>
    <x v="8"/>
    <x v="20"/>
    <x v="1820"/>
    <d v="2015-04-01T01:01:30"/>
    <x v="22"/>
    <x v="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x v="0"/>
    <n v="57"/>
    <x v="0"/>
    <s v="music/rock"/>
    <n v="135"/>
    <n v="59.16"/>
    <x v="4"/>
    <x v="11"/>
    <x v="1821"/>
    <d v="2012-03-03T07:39:27"/>
    <x v="26"/>
    <x v="5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x v="0"/>
    <n v="11"/>
    <x v="0"/>
    <s v="music/rock"/>
    <n v="100"/>
    <n v="27.27"/>
    <x v="4"/>
    <x v="11"/>
    <x v="1822"/>
    <d v="2014-01-31T19:01:00"/>
    <x v="232"/>
    <x v="4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x v="0"/>
    <n v="33"/>
    <x v="0"/>
    <s v="music/rock"/>
    <n v="116"/>
    <n v="24.58"/>
    <x v="4"/>
    <x v="11"/>
    <x v="1823"/>
    <d v="2012-10-24T16:26:16"/>
    <x v="1"/>
    <x v="5"/>
  </r>
  <r>
    <x v="1824"/>
    <s v="Tin Man's Broken Wisdom Fund"/>
    <s v="cd fund raiser"/>
    <x v="9"/>
    <x v="1243"/>
    <x v="0"/>
    <x v="0"/>
    <s v="USD"/>
    <n v="1389146880"/>
    <x v="1824"/>
    <x v="0"/>
    <n v="40"/>
    <x v="0"/>
    <s v="music/rock"/>
    <n v="100"/>
    <n v="75.05"/>
    <x v="4"/>
    <x v="11"/>
    <x v="1824"/>
    <d v="2014-01-08T02:08:00"/>
    <x v="545"/>
    <x v="4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x v="0"/>
    <n v="50"/>
    <x v="0"/>
    <s v="music/rock"/>
    <n v="105"/>
    <n v="42.02"/>
    <x v="4"/>
    <x v="11"/>
    <x v="1825"/>
    <d v="2013-07-11T20:01:43"/>
    <x v="56"/>
    <x v="4"/>
  </r>
  <r>
    <x v="1826"/>
    <s v="BEAR GHOST! Professional Recording! Yay!"/>
    <s v="Hear your favorite Bear Ghost in eargasmic quality!"/>
    <x v="13"/>
    <x v="895"/>
    <x v="0"/>
    <x v="0"/>
    <s v="USD"/>
    <n v="1392675017"/>
    <x v="1826"/>
    <x v="0"/>
    <n v="38"/>
    <x v="0"/>
    <s v="music/rock"/>
    <n v="101"/>
    <n v="53.16"/>
    <x v="4"/>
    <x v="11"/>
    <x v="1826"/>
    <d v="2014-02-17T22:10:17"/>
    <x v="1"/>
    <x v="3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x v="0"/>
    <n v="96"/>
    <x v="0"/>
    <s v="music/rock"/>
    <n v="101"/>
    <n v="83.89"/>
    <x v="4"/>
    <x v="11"/>
    <x v="1827"/>
    <d v="2011-03-03T07:49:21"/>
    <x v="76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x v="0"/>
    <n v="48"/>
    <x v="0"/>
    <s v="music/rock"/>
    <n v="100"/>
    <n v="417.33"/>
    <x v="4"/>
    <x v="11"/>
    <x v="1828"/>
    <d v="2014-05-09T22:00:00"/>
    <x v="546"/>
    <x v="3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x v="0"/>
    <n v="33"/>
    <x v="0"/>
    <s v="music/rock"/>
    <n v="167"/>
    <n v="75.77"/>
    <x v="4"/>
    <x v="11"/>
    <x v="1829"/>
    <d v="2011-01-21T22:00:00"/>
    <x v="547"/>
    <x v="7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x v="0"/>
    <n v="226"/>
    <x v="0"/>
    <s v="music/rock"/>
    <n v="102"/>
    <n v="67.39"/>
    <x v="4"/>
    <x v="11"/>
    <x v="1830"/>
    <d v="2014-02-24T16:25:07"/>
    <x v="1"/>
    <x v="3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x v="0"/>
    <n v="14"/>
    <x v="0"/>
    <s v="music/rock"/>
    <n v="103"/>
    <n v="73.569999999999993"/>
    <x v="4"/>
    <x v="11"/>
    <x v="1831"/>
    <d v="2012-05-12T23:54:23"/>
    <x v="20"/>
    <x v="5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x v="0"/>
    <n v="20"/>
    <x v="0"/>
    <s v="music/rock"/>
    <n v="143"/>
    <n v="25"/>
    <x v="4"/>
    <x v="11"/>
    <x v="1832"/>
    <d v="2011-03-04T12:57:07"/>
    <x v="1"/>
    <x v="6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x v="0"/>
    <n v="25"/>
    <x v="0"/>
    <s v="music/rock"/>
    <n v="263"/>
    <n v="42"/>
    <x v="4"/>
    <x v="11"/>
    <x v="1833"/>
    <d v="2013-03-02T07:59:00"/>
    <x v="548"/>
    <x v="4"/>
  </r>
  <r>
    <x v="1834"/>
    <s v="TDJ - All Part of the Plan EP/Tour"/>
    <s v="Help us fund our first tour and promote our new EP!"/>
    <x v="3"/>
    <x v="1250"/>
    <x v="0"/>
    <x v="0"/>
    <s v="USD"/>
    <n v="1422140895"/>
    <x v="1834"/>
    <x v="0"/>
    <n v="90"/>
    <x v="0"/>
    <s v="music/rock"/>
    <n v="118"/>
    <n v="131.16999999999999"/>
    <x v="4"/>
    <x v="11"/>
    <x v="1834"/>
    <d v="2015-01-24T23:08:15"/>
    <x v="4"/>
    <x v="3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x v="0"/>
    <n v="11"/>
    <x v="0"/>
    <s v="music/rock"/>
    <n v="104"/>
    <n v="47.27"/>
    <x v="4"/>
    <x v="11"/>
    <x v="1835"/>
    <d v="2016-03-31T15:51:11"/>
    <x v="22"/>
    <x v="2"/>
  </r>
  <r>
    <x v="1836"/>
    <s v="KICKSTART OUR &lt;+3"/>
    <s v="Help fund our 2013 Sound &amp; Lighting Touring rig!"/>
    <x v="10"/>
    <x v="1251"/>
    <x v="0"/>
    <x v="0"/>
    <s v="USD"/>
    <n v="1361129129"/>
    <x v="1836"/>
    <x v="0"/>
    <n v="55"/>
    <x v="0"/>
    <s v="music/rock"/>
    <n v="200"/>
    <n v="182.13"/>
    <x v="4"/>
    <x v="11"/>
    <x v="1836"/>
    <d v="2013-02-17T19:25:29"/>
    <x v="54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x v="0"/>
    <n v="30"/>
    <x v="0"/>
    <s v="music/rock"/>
    <n v="307"/>
    <n v="61.37"/>
    <x v="4"/>
    <x v="11"/>
    <x v="1837"/>
    <d v="2012-03-18T00:08:55"/>
    <x v="80"/>
    <x v="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x v="0"/>
    <n v="28"/>
    <x v="0"/>
    <s v="music/rock"/>
    <n v="100"/>
    <n v="35.770000000000003"/>
    <x v="4"/>
    <x v="11"/>
    <x v="1838"/>
    <d v="2011-10-01T03:00:00"/>
    <x v="550"/>
    <x v="6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x v="0"/>
    <n v="45"/>
    <x v="0"/>
    <s v="music/rock"/>
    <n v="205"/>
    <n v="45.62"/>
    <x v="4"/>
    <x v="11"/>
    <x v="1839"/>
    <d v="2016-10-01T17:19:42"/>
    <x v="1"/>
    <x v="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x v="0"/>
    <n v="13"/>
    <x v="0"/>
    <s v="music/rock"/>
    <n v="109"/>
    <n v="75.38"/>
    <x v="4"/>
    <x v="11"/>
    <x v="1840"/>
    <d v="2013-05-07T04:59:00"/>
    <x v="551"/>
    <x v="4"/>
  </r>
  <r>
    <x v="1841"/>
    <s v="Hydra Effect Debut EP"/>
    <s v="Hard Rock with a Positive Message. Help us fund, release and promote our debut EP!"/>
    <x v="13"/>
    <x v="1256"/>
    <x v="0"/>
    <x v="0"/>
    <s v="USD"/>
    <n v="1400561940"/>
    <x v="1841"/>
    <x v="0"/>
    <n v="40"/>
    <x v="0"/>
    <s v="music/rock"/>
    <n v="102"/>
    <n v="50.88"/>
    <x v="4"/>
    <x v="11"/>
    <x v="1841"/>
    <d v="2014-05-20T04:59:00"/>
    <x v="552"/>
    <x v="3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x v="0"/>
    <n v="21"/>
    <x v="0"/>
    <s v="music/rock"/>
    <n v="125"/>
    <n v="119.29"/>
    <x v="4"/>
    <x v="11"/>
    <x v="1842"/>
    <d v="2015-03-02T05:59:00"/>
    <x v="553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x v="0"/>
    <n v="134"/>
    <x v="0"/>
    <s v="music/rock"/>
    <n v="124"/>
    <n v="92.54"/>
    <x v="4"/>
    <x v="11"/>
    <x v="1843"/>
    <d v="2011-02-20T23:52:34"/>
    <x v="1"/>
    <x v="6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x v="0"/>
    <n v="20"/>
    <x v="0"/>
    <s v="music/rock"/>
    <n v="101"/>
    <n v="76.05"/>
    <x v="4"/>
    <x v="11"/>
    <x v="1844"/>
    <d v="2011-06-11T03:00:00"/>
    <x v="554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x v="0"/>
    <n v="19"/>
    <x v="0"/>
    <s v="music/rock"/>
    <n v="100"/>
    <n v="52.63"/>
    <x v="4"/>
    <x v="11"/>
    <x v="1845"/>
    <d v="2016-06-17T04:55:00"/>
    <x v="555"/>
    <x v="2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x v="0"/>
    <n v="209"/>
    <x v="0"/>
    <s v="music/rock"/>
    <n v="138"/>
    <n v="98.99"/>
    <x v="4"/>
    <x v="11"/>
    <x v="1846"/>
    <d v="2012-12-15T15:36:17"/>
    <x v="1"/>
    <x v="5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x v="0"/>
    <n v="38"/>
    <x v="0"/>
    <s v="music/rock"/>
    <n v="121"/>
    <n v="79.53"/>
    <x v="4"/>
    <x v="11"/>
    <x v="1847"/>
    <d v="2015-04-21T05:40:32"/>
    <x v="31"/>
    <x v="0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x v="0"/>
    <n v="24"/>
    <x v="0"/>
    <s v="music/rock"/>
    <n v="107"/>
    <n v="134.21"/>
    <x v="4"/>
    <x v="11"/>
    <x v="1848"/>
    <d v="2011-07-31T06:59:00"/>
    <x v="115"/>
    <x v="6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x v="1849"/>
    <x v="0"/>
    <n v="8"/>
    <x v="0"/>
    <s v="music/rock"/>
    <n v="100"/>
    <n v="37.630000000000003"/>
    <x v="4"/>
    <x v="11"/>
    <x v="1849"/>
    <d v="2012-10-17T20:17:39"/>
    <x v="1"/>
    <x v="5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x v="0"/>
    <n v="179"/>
    <x v="0"/>
    <s v="music/rock"/>
    <n v="102"/>
    <n v="51.04"/>
    <x v="4"/>
    <x v="11"/>
    <x v="1850"/>
    <d v="2014-07-10T23:01:40"/>
    <x v="1"/>
    <x v="3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x v="0"/>
    <n v="26"/>
    <x v="0"/>
    <s v="music/rock"/>
    <n v="100"/>
    <n v="50.04"/>
    <x v="4"/>
    <x v="11"/>
    <x v="1851"/>
    <d v="2014-07-28T01:00:00"/>
    <x v="556"/>
    <x v="3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x v="0"/>
    <n v="131"/>
    <x v="0"/>
    <s v="music/rock"/>
    <n v="117"/>
    <n v="133.93"/>
    <x v="4"/>
    <x v="11"/>
    <x v="1852"/>
    <d v="2015-04-25T00:00:00"/>
    <x v="557"/>
    <x v="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x v="0"/>
    <n v="14"/>
    <x v="0"/>
    <s v="music/rock"/>
    <n v="102"/>
    <n v="58.21"/>
    <x v="4"/>
    <x v="11"/>
    <x v="1853"/>
    <d v="2012-11-14T02:26:57"/>
    <x v="111"/>
    <x v="5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x v="0"/>
    <n v="174"/>
    <x v="0"/>
    <s v="music/rock"/>
    <n v="102"/>
    <n v="88.04"/>
    <x v="4"/>
    <x v="11"/>
    <x v="1854"/>
    <d v="2013-05-24T00:30:37"/>
    <x v="1"/>
    <x v="4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x v="0"/>
    <n v="191"/>
    <x v="0"/>
    <s v="music/rock"/>
    <n v="154"/>
    <n v="70.58"/>
    <x v="4"/>
    <x v="11"/>
    <x v="1855"/>
    <d v="2014-01-06T12:55:40"/>
    <x v="26"/>
    <x v="4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x v="0"/>
    <n v="38"/>
    <x v="0"/>
    <s v="music/rock"/>
    <n v="101"/>
    <n v="53.29"/>
    <x v="4"/>
    <x v="11"/>
    <x v="1856"/>
    <d v="2014-07-18T20:31:12"/>
    <x v="31"/>
    <x v="3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x v="0"/>
    <n v="22"/>
    <x v="0"/>
    <s v="music/rock"/>
    <n v="100"/>
    <n v="136.36000000000001"/>
    <x v="4"/>
    <x v="11"/>
    <x v="1857"/>
    <d v="2014-09-12T18:26:53"/>
    <x v="1"/>
    <x v="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x v="0"/>
    <n v="149"/>
    <x v="0"/>
    <s v="music/rock"/>
    <n v="109"/>
    <n v="40.549999999999997"/>
    <x v="4"/>
    <x v="11"/>
    <x v="1858"/>
    <d v="2011-12-16T05:48:41"/>
    <x v="27"/>
    <x v="6"/>
  </r>
  <r>
    <x v="1859"/>
    <s v="Queen Kwong Tour to London and Paris"/>
    <s v="Queen Kwong is going ON TOUR to London and Paris!"/>
    <x v="9"/>
    <x v="1270"/>
    <x v="0"/>
    <x v="0"/>
    <s v="USD"/>
    <n v="1316716129"/>
    <x v="1859"/>
    <x v="0"/>
    <n v="56"/>
    <x v="0"/>
    <s v="music/rock"/>
    <n v="132"/>
    <n v="70.63"/>
    <x v="4"/>
    <x v="11"/>
    <x v="1859"/>
    <d v="2011-09-22T18:28:49"/>
    <x v="1"/>
    <x v="6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x v="0"/>
    <n v="19"/>
    <x v="0"/>
    <s v="music/rock"/>
    <n v="133"/>
    <n v="52.68"/>
    <x v="4"/>
    <x v="11"/>
    <x v="1860"/>
    <d v="2014-02-06T17:01:24"/>
    <x v="31"/>
    <x v="3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x v="0"/>
    <n v="0"/>
    <x v="1"/>
    <s v="games/mobile games"/>
    <n v="0"/>
    <n v="0"/>
    <x v="6"/>
    <x v="18"/>
    <x v="1861"/>
    <d v="2015-01-26T07:12:21"/>
    <x v="1"/>
    <x v="3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x v="0"/>
    <n v="16"/>
    <x v="1"/>
    <s v="games/mobile games"/>
    <n v="8"/>
    <n v="90.94"/>
    <x v="6"/>
    <x v="18"/>
    <x v="1862"/>
    <d v="2017-03-08T07:30:00"/>
    <x v="558"/>
    <x v="1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x v="0"/>
    <n v="2"/>
    <x v="1"/>
    <s v="games/mobile games"/>
    <n v="0"/>
    <n v="5"/>
    <x v="6"/>
    <x v="18"/>
    <x v="1863"/>
    <d v="2014-06-12T19:08:05"/>
    <x v="1"/>
    <x v="3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x v="0"/>
    <n v="48"/>
    <x v="1"/>
    <s v="games/mobile games"/>
    <n v="43"/>
    <n v="58.08"/>
    <x v="6"/>
    <x v="18"/>
    <x v="1864"/>
    <d v="2014-05-04T17:11:40"/>
    <x v="1"/>
    <x v="3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x v="0"/>
    <n v="2"/>
    <x v="1"/>
    <s v="games/mobile games"/>
    <n v="0"/>
    <n v="2"/>
    <x v="6"/>
    <x v="18"/>
    <x v="1865"/>
    <d v="2016-11-06T09:49:07"/>
    <x v="145"/>
    <x v="2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x v="0"/>
    <n v="2"/>
    <x v="1"/>
    <s v="games/mobile games"/>
    <n v="1"/>
    <n v="62.5"/>
    <x v="6"/>
    <x v="18"/>
    <x v="1866"/>
    <d v="2017-03-01T04:00:00"/>
    <x v="107"/>
    <x v="1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x v="0"/>
    <n v="1"/>
    <x v="1"/>
    <s v="games/mobile games"/>
    <n v="0"/>
    <n v="10"/>
    <x v="6"/>
    <x v="18"/>
    <x v="1867"/>
    <d v="2016-11-05T22:11:52"/>
    <x v="1"/>
    <x v="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x v="0"/>
    <n v="17"/>
    <x v="1"/>
    <s v="games/mobile games"/>
    <n v="5"/>
    <n v="71.59"/>
    <x v="6"/>
    <x v="18"/>
    <x v="1868"/>
    <d v="2015-12-15T07:59:00"/>
    <x v="559"/>
    <x v="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x v="0"/>
    <n v="0"/>
    <x v="1"/>
    <s v="games/mobile games"/>
    <n v="0"/>
    <n v="0"/>
    <x v="6"/>
    <x v="18"/>
    <x v="1869"/>
    <d v="2017-01-04T00:04:09"/>
    <x v="1"/>
    <x v="2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x v="0"/>
    <n v="11"/>
    <x v="1"/>
    <s v="games/mobile games"/>
    <n v="10"/>
    <n v="32.82"/>
    <x v="6"/>
    <x v="18"/>
    <x v="1870"/>
    <d v="2016-01-31T04:17:00"/>
    <x v="560"/>
    <x v="2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x v="0"/>
    <n v="95"/>
    <x v="1"/>
    <s v="games/mobile games"/>
    <n v="72"/>
    <n v="49.12"/>
    <x v="6"/>
    <x v="18"/>
    <x v="1871"/>
    <d v="2014-11-20T19:48:21"/>
    <x v="182"/>
    <x v="3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x v="0"/>
    <n v="13"/>
    <x v="1"/>
    <s v="games/mobile games"/>
    <n v="1"/>
    <n v="16.309999999999999"/>
    <x v="6"/>
    <x v="18"/>
    <x v="1872"/>
    <d v="2015-06-30T03:06:42"/>
    <x v="1"/>
    <x v="0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x v="0"/>
    <n v="2"/>
    <x v="1"/>
    <s v="games/mobile games"/>
    <n v="0"/>
    <n v="18"/>
    <x v="6"/>
    <x v="18"/>
    <x v="1873"/>
    <d v="2015-07-08T16:45:00"/>
    <x v="561"/>
    <x v="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x v="0"/>
    <n v="2"/>
    <x v="1"/>
    <s v="games/mobile games"/>
    <n v="0"/>
    <n v="13"/>
    <x v="6"/>
    <x v="18"/>
    <x v="1874"/>
    <d v="2016-06-28T23:15:33"/>
    <x v="51"/>
    <x v="2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x v="0"/>
    <n v="3"/>
    <x v="1"/>
    <s v="games/mobile games"/>
    <n v="1"/>
    <n v="17"/>
    <x v="6"/>
    <x v="18"/>
    <x v="1875"/>
    <d v="2016-08-06T21:35:08"/>
    <x v="14"/>
    <x v="2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x v="0"/>
    <n v="0"/>
    <x v="1"/>
    <s v="games/mobile games"/>
    <n v="0"/>
    <n v="0"/>
    <x v="6"/>
    <x v="18"/>
    <x v="1876"/>
    <d v="2014-06-16T06:50:05"/>
    <x v="1"/>
    <x v="3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x v="0"/>
    <n v="0"/>
    <x v="1"/>
    <s v="games/mobile games"/>
    <n v="0"/>
    <n v="0"/>
    <x v="6"/>
    <x v="18"/>
    <x v="1877"/>
    <d v="2015-03-01T00:42:05"/>
    <x v="229"/>
    <x v="0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x v="0"/>
    <n v="0"/>
    <x v="1"/>
    <s v="games/mobile games"/>
    <n v="0"/>
    <n v="0"/>
    <x v="6"/>
    <x v="18"/>
    <x v="1878"/>
    <d v="2014-06-13T00:12:35"/>
    <x v="1"/>
    <x v="3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x v="0"/>
    <n v="2"/>
    <x v="1"/>
    <s v="games/mobile games"/>
    <n v="0"/>
    <n v="3"/>
    <x v="6"/>
    <x v="18"/>
    <x v="1879"/>
    <d v="2016-03-14T14:35:29"/>
    <x v="22"/>
    <x v="2"/>
  </r>
  <r>
    <x v="1880"/>
    <s v="Sim Betting Football"/>
    <s v="Sim Betting Football is the only football (soccer) betting simulation  game."/>
    <x v="10"/>
    <x v="1276"/>
    <x v="2"/>
    <x v="1"/>
    <s v="GBP"/>
    <n v="1459341380"/>
    <x v="1880"/>
    <x v="0"/>
    <n v="24"/>
    <x v="1"/>
    <s v="games/mobile games"/>
    <n v="20"/>
    <n v="41.83"/>
    <x v="6"/>
    <x v="18"/>
    <x v="1880"/>
    <d v="2016-03-30T12:36:20"/>
    <x v="562"/>
    <x v="2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x v="0"/>
    <n v="70"/>
    <x v="0"/>
    <s v="music/indie rock"/>
    <n v="173"/>
    <n v="49.34"/>
    <x v="4"/>
    <x v="14"/>
    <x v="1881"/>
    <d v="2015-03-10T02:39:49"/>
    <x v="22"/>
    <x v="0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x v="0"/>
    <n v="81"/>
    <x v="0"/>
    <s v="music/indie rock"/>
    <n v="101"/>
    <n v="41.73"/>
    <x v="4"/>
    <x v="14"/>
    <x v="1882"/>
    <d v="2012-07-10T23:48:00"/>
    <x v="190"/>
    <x v="5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x v="0"/>
    <n v="32"/>
    <x v="0"/>
    <s v="music/indie rock"/>
    <n v="105"/>
    <n v="32.72"/>
    <x v="4"/>
    <x v="14"/>
    <x v="1883"/>
    <d v="2012-04-08T21:45:08"/>
    <x v="22"/>
    <x v="5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x v="0"/>
    <n v="26"/>
    <x v="0"/>
    <s v="music/indie rock"/>
    <n v="135"/>
    <n v="51.96"/>
    <x v="4"/>
    <x v="14"/>
    <x v="1884"/>
    <d v="2012-11-27T12:00:00"/>
    <x v="563"/>
    <x v="5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x v="0"/>
    <n v="105"/>
    <x v="0"/>
    <s v="music/indie rock"/>
    <n v="116"/>
    <n v="50.69"/>
    <x v="4"/>
    <x v="14"/>
    <x v="1885"/>
    <d v="2012-08-10T22:00:00"/>
    <x v="564"/>
    <x v="5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x v="0"/>
    <n v="29"/>
    <x v="0"/>
    <s v="music/indie rock"/>
    <n v="102"/>
    <n v="42.24"/>
    <x v="4"/>
    <x v="14"/>
    <x v="1886"/>
    <d v="2014-11-12T22:45:38"/>
    <x v="13"/>
    <x v="3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x v="0"/>
    <n v="8"/>
    <x v="0"/>
    <s v="music/indie rock"/>
    <n v="111"/>
    <n v="416.88"/>
    <x v="4"/>
    <x v="14"/>
    <x v="1887"/>
    <d v="2015-12-03T21:30:00"/>
    <x v="565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x v="0"/>
    <n v="89"/>
    <x v="0"/>
    <s v="music/indie rock"/>
    <n v="166"/>
    <n v="46.65"/>
    <x v="4"/>
    <x v="14"/>
    <x v="1888"/>
    <d v="2010-06-01T04:59:00"/>
    <x v="566"/>
    <x v="7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x v="0"/>
    <n v="44"/>
    <x v="0"/>
    <s v="music/indie rock"/>
    <n v="107"/>
    <n v="48.45"/>
    <x v="4"/>
    <x v="14"/>
    <x v="1889"/>
    <d v="2013-03-11T18:02:26"/>
    <x v="129"/>
    <x v="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x v="0"/>
    <n v="246"/>
    <x v="0"/>
    <s v="music/indie rock"/>
    <n v="145"/>
    <n v="70.53"/>
    <x v="4"/>
    <x v="14"/>
    <x v="1890"/>
    <d v="2012-12-15T18:52:08"/>
    <x v="1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x v="0"/>
    <n v="120"/>
    <x v="0"/>
    <s v="music/indie rock"/>
    <n v="106"/>
    <n v="87.96"/>
    <x v="4"/>
    <x v="14"/>
    <x v="1891"/>
    <d v="2010-07-22T06:00:00"/>
    <x v="567"/>
    <x v="7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x v="0"/>
    <n v="26"/>
    <x v="0"/>
    <s v="music/indie rock"/>
    <n v="137"/>
    <n v="26.27"/>
    <x v="4"/>
    <x v="14"/>
    <x v="1892"/>
    <d v="2011-06-07T15:18:01"/>
    <x v="1"/>
    <x v="6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x v="0"/>
    <n v="45"/>
    <x v="0"/>
    <s v="music/indie rock"/>
    <n v="104"/>
    <n v="57.78"/>
    <x v="4"/>
    <x v="14"/>
    <x v="1893"/>
    <d v="2011-04-16T03:59:00"/>
    <x v="568"/>
    <x v="6"/>
  </r>
  <r>
    <x v="1894"/>
    <s v="Help me release my first 3 song EP!!"/>
    <s v="Im trying to raise $1000 for a 3 song EP in a studio!"/>
    <x v="28"/>
    <x v="1288"/>
    <x v="0"/>
    <x v="0"/>
    <s v="USD"/>
    <n v="1329082983"/>
    <x v="1894"/>
    <x v="0"/>
    <n v="20"/>
    <x v="0"/>
    <s v="music/indie rock"/>
    <n v="115"/>
    <n v="57.25"/>
    <x v="4"/>
    <x v="14"/>
    <x v="1894"/>
    <d v="2012-02-12T21:43:03"/>
    <x v="102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x v="0"/>
    <n v="47"/>
    <x v="0"/>
    <s v="music/indie rock"/>
    <n v="102"/>
    <n v="196.34"/>
    <x v="4"/>
    <x v="14"/>
    <x v="1895"/>
    <d v="2015-10-20T17:55:22"/>
    <x v="1"/>
    <x v="0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x v="0"/>
    <n v="13"/>
    <x v="0"/>
    <s v="music/indie rock"/>
    <n v="124"/>
    <n v="43"/>
    <x v="4"/>
    <x v="14"/>
    <x v="1896"/>
    <d v="2012-04-12T17:02:45"/>
    <x v="1"/>
    <x v="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x v="0"/>
    <n v="183"/>
    <x v="0"/>
    <s v="music/indie rock"/>
    <n v="102"/>
    <n v="35.549999999999997"/>
    <x v="4"/>
    <x v="14"/>
    <x v="1897"/>
    <d v="2014-03-04T21:00:00"/>
    <x v="569"/>
    <x v="3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x v="0"/>
    <n v="21"/>
    <x v="0"/>
    <s v="music/indie rock"/>
    <n v="145"/>
    <n v="68.81"/>
    <x v="4"/>
    <x v="14"/>
    <x v="1898"/>
    <d v="2016-02-01T18:00:00"/>
    <x v="570"/>
    <x v="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x v="0"/>
    <n v="42"/>
    <x v="0"/>
    <s v="music/indie rock"/>
    <n v="133"/>
    <n v="28.57"/>
    <x v="4"/>
    <x v="14"/>
    <x v="1899"/>
    <d v="2015-03-25T21:36:06"/>
    <x v="22"/>
    <x v="0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x v="0"/>
    <n v="54"/>
    <x v="0"/>
    <s v="music/indie rock"/>
    <n v="109"/>
    <n v="50.63"/>
    <x v="4"/>
    <x v="14"/>
    <x v="1900"/>
    <d v="2012-10-06T09:59:00"/>
    <x v="571"/>
    <x v="5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x v="0"/>
    <n v="25"/>
    <x v="1"/>
    <s v="technology/gadgets"/>
    <n v="3"/>
    <n v="106.8"/>
    <x v="2"/>
    <x v="29"/>
    <x v="1901"/>
    <d v="2015-05-22T13:00:00"/>
    <x v="1"/>
    <x v="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x v="0"/>
    <n v="3"/>
    <x v="1"/>
    <s v="technology/gadgets"/>
    <n v="1"/>
    <n v="4"/>
    <x v="2"/>
    <x v="29"/>
    <x v="1902"/>
    <d v="2015-03-04T18:57:27"/>
    <x v="1"/>
    <x v="0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x v="0"/>
    <n v="41"/>
    <x v="1"/>
    <s v="technology/gadgets"/>
    <n v="47"/>
    <n v="34.1"/>
    <x v="2"/>
    <x v="29"/>
    <x v="1903"/>
    <d v="2017-01-27T18:29:51"/>
    <x v="14"/>
    <x v="2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x v="0"/>
    <n v="2"/>
    <x v="1"/>
    <s v="technology/gadgets"/>
    <n v="0"/>
    <n v="25"/>
    <x v="2"/>
    <x v="29"/>
    <x v="1904"/>
    <d v="2016-01-02T16:27:01"/>
    <x v="26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x v="0"/>
    <n v="4"/>
    <x v="1"/>
    <s v="technology/gadgets"/>
    <n v="0"/>
    <n v="10.5"/>
    <x v="2"/>
    <x v="29"/>
    <x v="1905"/>
    <d v="2014-09-07T22:13:14"/>
    <x v="1"/>
    <x v="3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x v="0"/>
    <n v="99"/>
    <x v="1"/>
    <s v="technology/gadgets"/>
    <n v="43"/>
    <n v="215.96"/>
    <x v="2"/>
    <x v="29"/>
    <x v="1906"/>
    <d v="2016-06-23T16:06:23"/>
    <x v="1"/>
    <x v="2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x v="0"/>
    <n v="4"/>
    <x v="1"/>
    <s v="technology/gadgets"/>
    <n v="0"/>
    <n v="21.25"/>
    <x v="2"/>
    <x v="29"/>
    <x v="1907"/>
    <d v="2014-05-23T14:05:25"/>
    <x v="20"/>
    <x v="3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x v="0"/>
    <n v="4"/>
    <x v="1"/>
    <s v="technology/gadgets"/>
    <n v="2"/>
    <n v="108.25"/>
    <x v="2"/>
    <x v="29"/>
    <x v="1908"/>
    <d v="2016-12-29T22:01:40"/>
    <x v="1"/>
    <x v="2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x v="0"/>
    <n v="38"/>
    <x v="1"/>
    <s v="technology/gadgets"/>
    <n v="14"/>
    <n v="129.97"/>
    <x v="2"/>
    <x v="29"/>
    <x v="1909"/>
    <d v="2014-10-23T10:17:59"/>
    <x v="1"/>
    <x v="3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x v="0"/>
    <n v="285"/>
    <x v="1"/>
    <s v="technology/gadgets"/>
    <n v="39"/>
    <n v="117.49"/>
    <x v="2"/>
    <x v="29"/>
    <x v="1910"/>
    <d v="2015-10-31T22:45:00"/>
    <x v="572"/>
    <x v="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x v="0"/>
    <n v="1"/>
    <x v="1"/>
    <s v="technology/gadgets"/>
    <n v="0"/>
    <n v="10"/>
    <x v="2"/>
    <x v="29"/>
    <x v="1911"/>
    <d v="2014-08-09T00:48:54"/>
    <x v="1"/>
    <x v="3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x v="0"/>
    <n v="42"/>
    <x v="1"/>
    <s v="technology/gadgets"/>
    <n v="59"/>
    <n v="70.599999999999994"/>
    <x v="2"/>
    <x v="29"/>
    <x v="1912"/>
    <d v="2015-06-04T05:26:00"/>
    <x v="1"/>
    <x v="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x v="0"/>
    <n v="26"/>
    <x v="1"/>
    <s v="technology/gadgets"/>
    <n v="1"/>
    <n v="24.5"/>
    <x v="2"/>
    <x v="29"/>
    <x v="1913"/>
    <d v="2014-10-08T12:16:18"/>
    <x v="1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x v="0"/>
    <n v="2"/>
    <x v="1"/>
    <s v="technology/gadgets"/>
    <n v="9"/>
    <n v="30"/>
    <x v="2"/>
    <x v="29"/>
    <x v="1914"/>
    <d v="2014-11-01T03:59:00"/>
    <x v="573"/>
    <x v="3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x v="0"/>
    <n v="4"/>
    <x v="1"/>
    <s v="technology/gadgets"/>
    <n v="2"/>
    <n v="2"/>
    <x v="2"/>
    <x v="29"/>
    <x v="1915"/>
    <d v="2014-09-02T01:10:22"/>
    <x v="51"/>
    <x v="3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x v="0"/>
    <n v="6"/>
    <x v="1"/>
    <s v="technology/gadgets"/>
    <n v="1"/>
    <n v="17"/>
    <x v="2"/>
    <x v="29"/>
    <x v="1916"/>
    <d v="2016-11-07T18:12:55"/>
    <x v="574"/>
    <x v="2"/>
  </r>
  <r>
    <x v="1917"/>
    <s v="Chronovisor:The MOST innovative watch for night time reading"/>
    <s v="Let's build a legendary brand altogether"/>
    <x v="303"/>
    <x v="1302"/>
    <x v="2"/>
    <x v="7"/>
    <s v="HKD"/>
    <n v="1486708133"/>
    <x v="1917"/>
    <x v="0"/>
    <n v="70"/>
    <x v="1"/>
    <s v="technology/gadgets"/>
    <n v="53"/>
    <n v="2928.93"/>
    <x v="2"/>
    <x v="29"/>
    <x v="1917"/>
    <d v="2017-02-10T06:28:53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x v="0"/>
    <n v="9"/>
    <x v="1"/>
    <s v="technology/gadgets"/>
    <n v="1"/>
    <n v="28.89"/>
    <x v="2"/>
    <x v="29"/>
    <x v="1918"/>
    <d v="2014-08-12T18:57:31"/>
    <x v="6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x v="0"/>
    <n v="8"/>
    <x v="1"/>
    <s v="technology/gadgets"/>
    <n v="47"/>
    <n v="29.63"/>
    <x v="2"/>
    <x v="29"/>
    <x v="1919"/>
    <d v="2015-05-19T21:00:49"/>
    <x v="1"/>
    <x v="0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x v="0"/>
    <n v="105"/>
    <x v="1"/>
    <s v="technology/gadgets"/>
    <n v="43"/>
    <n v="40.98"/>
    <x v="2"/>
    <x v="29"/>
    <x v="1920"/>
    <d v="2015-10-21T23:00:00"/>
    <x v="575"/>
    <x v="0"/>
  </r>
  <r>
    <x v="1921"/>
    <s v="The Fine Spirits are making an album!"/>
    <s v="The Fine Spirits are making an album, but we need your help!"/>
    <x v="15"/>
    <x v="1305"/>
    <x v="0"/>
    <x v="0"/>
    <s v="USD"/>
    <n v="1342243143"/>
    <x v="1921"/>
    <x v="0"/>
    <n v="38"/>
    <x v="0"/>
    <s v="music/indie rock"/>
    <n v="137"/>
    <n v="54"/>
    <x v="4"/>
    <x v="14"/>
    <x v="1921"/>
    <d v="2012-07-14T05:19:03"/>
    <x v="1"/>
    <x v="5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x v="0"/>
    <n v="64"/>
    <x v="0"/>
    <s v="music/indie rock"/>
    <n v="116"/>
    <n v="36.11"/>
    <x v="4"/>
    <x v="14"/>
    <x v="1922"/>
    <d v="2013-12-12T06:08:27"/>
    <x v="1"/>
    <x v="4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x v="0"/>
    <n v="13"/>
    <x v="0"/>
    <s v="music/indie rock"/>
    <n v="241"/>
    <n v="23.15"/>
    <x v="4"/>
    <x v="14"/>
    <x v="1923"/>
    <d v="2011-09-27T04:59:00"/>
    <x v="576"/>
    <x v="6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x v="0"/>
    <n v="33"/>
    <x v="0"/>
    <s v="music/indie rock"/>
    <n v="114"/>
    <n v="104"/>
    <x v="4"/>
    <x v="14"/>
    <x v="1924"/>
    <d v="2014-01-15T19:33:00"/>
    <x v="577"/>
    <x v="4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x v="0"/>
    <n v="52"/>
    <x v="0"/>
    <s v="music/indie rock"/>
    <n v="110"/>
    <n v="31.83"/>
    <x v="4"/>
    <x v="14"/>
    <x v="1925"/>
    <d v="2013-10-11T00:00:00"/>
    <x v="578"/>
    <x v="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x v="0"/>
    <n v="107"/>
    <x v="0"/>
    <s v="music/indie rock"/>
    <n v="195"/>
    <n v="27.39"/>
    <x v="4"/>
    <x v="14"/>
    <x v="1926"/>
    <d v="2010-11-02T00:26:00"/>
    <x v="579"/>
    <x v="7"/>
  </r>
  <r>
    <x v="1927"/>
    <s v="GBS Detroit Presents Hampshire"/>
    <s v="Hampshire is headed to GBS Detroit."/>
    <x v="20"/>
    <x v="972"/>
    <x v="0"/>
    <x v="0"/>
    <s v="USD"/>
    <n v="1331182740"/>
    <x v="1927"/>
    <x v="0"/>
    <n v="11"/>
    <x v="0"/>
    <s v="music/indie rock"/>
    <n v="103"/>
    <n v="56.36"/>
    <x v="4"/>
    <x v="14"/>
    <x v="1927"/>
    <d v="2012-03-08T04:59:00"/>
    <x v="580"/>
    <x v="5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x v="0"/>
    <n v="34"/>
    <x v="0"/>
    <s v="music/indie rock"/>
    <n v="103"/>
    <n v="77.349999999999994"/>
    <x v="4"/>
    <x v="14"/>
    <x v="1928"/>
    <d v="2013-05-07T15:33:14"/>
    <x v="1"/>
    <x v="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x v="0"/>
    <n v="75"/>
    <x v="0"/>
    <s v="music/indie rock"/>
    <n v="100"/>
    <n v="42.8"/>
    <x v="4"/>
    <x v="14"/>
    <x v="1929"/>
    <d v="2011-07-05T00:31:06"/>
    <x v="202"/>
    <x v="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x v="0"/>
    <n v="26"/>
    <x v="0"/>
    <s v="music/indie rock"/>
    <n v="127"/>
    <n v="48.85"/>
    <x v="4"/>
    <x v="14"/>
    <x v="1930"/>
    <d v="2013-07-07T13:24:42"/>
    <x v="14"/>
    <x v="4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x v="0"/>
    <n v="50"/>
    <x v="0"/>
    <s v="music/indie rock"/>
    <n v="121"/>
    <n v="48.24"/>
    <x v="4"/>
    <x v="14"/>
    <x v="1931"/>
    <d v="2012-05-22T03:30:00"/>
    <x v="581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x v="0"/>
    <n v="80"/>
    <x v="0"/>
    <s v="music/indie rock"/>
    <n v="107"/>
    <n v="70.209999999999994"/>
    <x v="4"/>
    <x v="14"/>
    <x v="1932"/>
    <d v="2012-01-24T19:26:13"/>
    <x v="31"/>
    <x v="5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x v="0"/>
    <n v="110"/>
    <x v="0"/>
    <s v="music/indie rock"/>
    <n v="172"/>
    <n v="94.05"/>
    <x v="4"/>
    <x v="14"/>
    <x v="1933"/>
    <d v="2014-09-27T03:08:27"/>
    <x v="1"/>
    <x v="3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x v="0"/>
    <n v="77"/>
    <x v="0"/>
    <s v="music/indie rock"/>
    <n v="124"/>
    <n v="80.27"/>
    <x v="4"/>
    <x v="14"/>
    <x v="1934"/>
    <d v="2011-12-25T05:00:00"/>
    <x v="582"/>
    <x v="6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x v="0"/>
    <n v="50"/>
    <x v="0"/>
    <s v="music/indie rock"/>
    <n v="108"/>
    <n v="54.2"/>
    <x v="4"/>
    <x v="14"/>
    <x v="1935"/>
    <d v="2014-06-21T04:59:00"/>
    <x v="583"/>
    <x v="3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x v="0"/>
    <n v="145"/>
    <x v="0"/>
    <s v="music/indie rock"/>
    <n v="117"/>
    <n v="60.27"/>
    <x v="4"/>
    <x v="14"/>
    <x v="1936"/>
    <d v="2011-12-06T05:59:00"/>
    <x v="584"/>
    <x v="6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x v="0"/>
    <n v="29"/>
    <x v="0"/>
    <s v="music/indie rock"/>
    <n v="187"/>
    <n v="38.74"/>
    <x v="4"/>
    <x v="14"/>
    <x v="1937"/>
    <d v="2012-06-15T03:59:00"/>
    <x v="585"/>
    <x v="5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x v="0"/>
    <n v="114"/>
    <x v="0"/>
    <s v="music/indie rock"/>
    <n v="116"/>
    <n v="152.54"/>
    <x v="4"/>
    <x v="14"/>
    <x v="1938"/>
    <d v="2013-07-02T05:00:00"/>
    <x v="77"/>
    <x v="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x v="0"/>
    <n v="96"/>
    <x v="0"/>
    <s v="music/indie rock"/>
    <n v="111"/>
    <n v="115.31"/>
    <x v="4"/>
    <x v="14"/>
    <x v="1939"/>
    <d v="2013-03-10T22:38:28"/>
    <x v="22"/>
    <x v="4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x v="0"/>
    <n v="31"/>
    <x v="0"/>
    <s v="music/indie rock"/>
    <n v="171"/>
    <n v="35.840000000000003"/>
    <x v="4"/>
    <x v="14"/>
    <x v="1940"/>
    <d v="2011-06-15T03:59:00"/>
    <x v="586"/>
    <x v="6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x v="1"/>
    <n v="4883"/>
    <x v="0"/>
    <s v="technology/hardware"/>
    <n v="126"/>
    <n v="64.569999999999993"/>
    <x v="2"/>
    <x v="30"/>
    <x v="1941"/>
    <d v="2014-05-15T06:58:51"/>
    <x v="1"/>
    <x v="3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x v="1"/>
    <n v="95"/>
    <x v="0"/>
    <s v="technology/hardware"/>
    <n v="138"/>
    <n v="87.44"/>
    <x v="2"/>
    <x v="30"/>
    <x v="1942"/>
    <d v="2011-07-04T19:52:20"/>
    <x v="396"/>
    <x v="6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x v="1"/>
    <n v="2478"/>
    <x v="0"/>
    <s v="technology/hardware"/>
    <n v="1705"/>
    <n v="68.819999999999993"/>
    <x v="2"/>
    <x v="30"/>
    <x v="1943"/>
    <d v="2016-08-11T06:28:36"/>
    <x v="2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x v="1"/>
    <n v="1789"/>
    <x v="0"/>
    <s v="technology/hardware"/>
    <n v="788"/>
    <n v="176.2"/>
    <x v="2"/>
    <x v="30"/>
    <x v="1944"/>
    <d v="2014-05-01T14:01:30"/>
    <x v="1"/>
    <x v="3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x v="1"/>
    <n v="680"/>
    <x v="0"/>
    <s v="technology/hardware"/>
    <n v="348"/>
    <n v="511.79"/>
    <x v="2"/>
    <x v="30"/>
    <x v="1945"/>
    <d v="2015-07-12T06:02:38"/>
    <x v="4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x v="1"/>
    <n v="70"/>
    <x v="0"/>
    <s v="technology/hardware"/>
    <n v="150"/>
    <n v="160.44"/>
    <x v="2"/>
    <x v="30"/>
    <x v="1946"/>
    <d v="2014-04-20T02:36:01"/>
    <x v="80"/>
    <x v="3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x v="1"/>
    <n v="23"/>
    <x v="0"/>
    <s v="technology/hardware"/>
    <n v="101"/>
    <n v="35"/>
    <x v="2"/>
    <x v="30"/>
    <x v="1947"/>
    <d v="2009-11-23T05:59:00"/>
    <x v="587"/>
    <x v="8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x v="1948"/>
    <x v="1"/>
    <n v="4245"/>
    <x v="0"/>
    <s v="technology/hardware"/>
    <n v="800"/>
    <n v="188.51"/>
    <x v="2"/>
    <x v="30"/>
    <x v="1948"/>
    <d v="2016-06-06T17:02:00"/>
    <x v="588"/>
    <x v="2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x v="1"/>
    <n v="943"/>
    <x v="0"/>
    <s v="technology/hardware"/>
    <n v="106"/>
    <n v="56.2"/>
    <x v="2"/>
    <x v="30"/>
    <x v="1949"/>
    <d v="2014-07-10T10:09:11"/>
    <x v="1"/>
    <x v="3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x v="1"/>
    <n v="1876"/>
    <x v="0"/>
    <s v="technology/hardware"/>
    <n v="201"/>
    <n v="51.31"/>
    <x v="2"/>
    <x v="30"/>
    <x v="1950"/>
    <d v="2011-04-22T04:21:13"/>
    <x v="102"/>
    <x v="6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x v="1"/>
    <n v="834"/>
    <x v="0"/>
    <s v="technology/hardware"/>
    <n v="212"/>
    <n v="127.36"/>
    <x v="2"/>
    <x v="30"/>
    <x v="1951"/>
    <d v="2016-11-07T11:05:37"/>
    <x v="13"/>
    <x v="2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x v="1"/>
    <n v="682"/>
    <x v="0"/>
    <s v="technology/hardware"/>
    <n v="198"/>
    <n v="101.86"/>
    <x v="2"/>
    <x v="30"/>
    <x v="1952"/>
    <d v="2013-10-16T14:33:35"/>
    <x v="127"/>
    <x v="4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x v="1"/>
    <n v="147"/>
    <x v="0"/>
    <s v="technology/hardware"/>
    <n v="226"/>
    <n v="230.56"/>
    <x v="2"/>
    <x v="30"/>
    <x v="1953"/>
    <d v="2012-03-02T03:00:00"/>
    <x v="589"/>
    <x v="5"/>
  </r>
  <r>
    <x v="1954"/>
    <s v="Orison â€“ Rethink the Power of Energy"/>
    <s v="The First Home Battery System You Simply Plug in to Install"/>
    <x v="63"/>
    <x v="1336"/>
    <x v="0"/>
    <x v="0"/>
    <s v="USD"/>
    <n v="1457758800"/>
    <x v="1954"/>
    <x v="1"/>
    <n v="415"/>
    <x v="0"/>
    <s v="technology/hardware"/>
    <n v="699"/>
    <n v="842.11"/>
    <x v="2"/>
    <x v="30"/>
    <x v="1954"/>
    <d v="2016-03-12T05:00:00"/>
    <x v="590"/>
    <x v="2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x v="1"/>
    <n v="290"/>
    <x v="0"/>
    <s v="technology/hardware"/>
    <n v="399"/>
    <n v="577.28"/>
    <x v="2"/>
    <x v="30"/>
    <x v="1955"/>
    <d v="2012-05-23T19:00:00"/>
    <x v="591"/>
    <x v="5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x v="1"/>
    <n v="365"/>
    <x v="0"/>
    <s v="technology/hardware"/>
    <n v="294"/>
    <n v="483.34"/>
    <x v="2"/>
    <x v="30"/>
    <x v="1956"/>
    <d v="2015-04-18T21:10:05"/>
    <x v="129"/>
    <x v="0"/>
  </r>
  <r>
    <x v="1957"/>
    <s v="freeSoC and freeSoC Mini"/>
    <s v="An open hardware platform for the best microcontroller in the world."/>
    <x v="11"/>
    <x v="1339"/>
    <x v="0"/>
    <x v="0"/>
    <s v="USD"/>
    <n v="1351304513"/>
    <x v="1957"/>
    <x v="1"/>
    <n v="660"/>
    <x v="0"/>
    <s v="technology/hardware"/>
    <n v="168"/>
    <n v="76.14"/>
    <x v="2"/>
    <x v="30"/>
    <x v="1957"/>
    <d v="2012-10-27T02:21:53"/>
    <x v="1"/>
    <x v="5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x v="1"/>
    <n v="1356"/>
    <x v="0"/>
    <s v="technology/hardware"/>
    <n v="1436"/>
    <n v="74.11"/>
    <x v="2"/>
    <x v="30"/>
    <x v="1958"/>
    <d v="2013-03-23T22:42:41"/>
    <x v="22"/>
    <x v="4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x v="1"/>
    <n v="424"/>
    <x v="0"/>
    <s v="technology/hardware"/>
    <n v="157"/>
    <n v="36.97"/>
    <x v="2"/>
    <x v="30"/>
    <x v="1959"/>
    <d v="2014-10-01T00:00:00"/>
    <x v="592"/>
    <x v="3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x v="1"/>
    <n v="33"/>
    <x v="0"/>
    <s v="technology/hardware"/>
    <n v="118"/>
    <n v="2500.9699999999998"/>
    <x v="2"/>
    <x v="30"/>
    <x v="1960"/>
    <d v="2014-12-21T08:42:21"/>
    <x v="1"/>
    <x v="3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x v="1"/>
    <n v="1633"/>
    <x v="0"/>
    <s v="technology/hardware"/>
    <n v="1105"/>
    <n v="67.69"/>
    <x v="2"/>
    <x v="30"/>
    <x v="1961"/>
    <d v="2012-10-06T03:59:00"/>
    <x v="110"/>
    <x v="5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x v="1"/>
    <n v="306"/>
    <x v="0"/>
    <s v="technology/hardware"/>
    <n v="193"/>
    <n v="63.05"/>
    <x v="2"/>
    <x v="30"/>
    <x v="1962"/>
    <d v="2014-05-13T18:43:56"/>
    <x v="1"/>
    <x v="3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x v="1"/>
    <n v="205"/>
    <x v="0"/>
    <s v="technology/hardware"/>
    <n v="127"/>
    <n v="117.6"/>
    <x v="2"/>
    <x v="30"/>
    <x v="1963"/>
    <d v="2014-09-16T10:18:54"/>
    <x v="6"/>
    <x v="3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x v="1"/>
    <n v="1281"/>
    <x v="0"/>
    <s v="technology/hardware"/>
    <n v="260"/>
    <n v="180.75"/>
    <x v="2"/>
    <x v="30"/>
    <x v="1964"/>
    <d v="2016-04-22T06:32:52"/>
    <x v="1"/>
    <x v="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x v="1"/>
    <n v="103"/>
    <x v="0"/>
    <s v="technology/hardware"/>
    <n v="262"/>
    <n v="127.32"/>
    <x v="2"/>
    <x v="30"/>
    <x v="1965"/>
    <d v="2012-01-12T01:00:00"/>
    <x v="420"/>
    <x v="6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x v="1"/>
    <n v="1513"/>
    <x v="0"/>
    <s v="technology/hardware"/>
    <n v="207"/>
    <n v="136.63999999999999"/>
    <x v="2"/>
    <x v="30"/>
    <x v="1966"/>
    <d v="2014-08-14T12:58:18"/>
    <x v="1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x v="1"/>
    <n v="405"/>
    <x v="0"/>
    <s v="technology/hardware"/>
    <n v="370"/>
    <n v="182.78"/>
    <x v="2"/>
    <x v="30"/>
    <x v="1967"/>
    <d v="2014-05-01T15:55:29"/>
    <x v="1"/>
    <x v="3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x v="1"/>
    <n v="510"/>
    <x v="0"/>
    <s v="technology/hardware"/>
    <n v="285"/>
    <n v="279.38"/>
    <x v="2"/>
    <x v="30"/>
    <x v="1968"/>
    <d v="2016-12-03T15:05:15"/>
    <x v="160"/>
    <x v="2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x v="1"/>
    <n v="1887"/>
    <x v="0"/>
    <s v="technology/hardware"/>
    <n v="579"/>
    <n v="61.38"/>
    <x v="2"/>
    <x v="30"/>
    <x v="1969"/>
    <d v="2016-08-05T19:01:08"/>
    <x v="1"/>
    <x v="2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x v="1"/>
    <n v="701"/>
    <x v="0"/>
    <s v="technology/hardware"/>
    <n v="1132"/>
    <n v="80.73"/>
    <x v="2"/>
    <x v="30"/>
    <x v="1970"/>
    <d v="2013-04-20T03:38:21"/>
    <x v="80"/>
    <x v="4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x v="1"/>
    <n v="3863"/>
    <x v="0"/>
    <s v="technology/hardware"/>
    <n v="263"/>
    <n v="272.36"/>
    <x v="2"/>
    <x v="30"/>
    <x v="1971"/>
    <d v="2013-11-15T04:00:00"/>
    <x v="593"/>
    <x v="4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x v="1"/>
    <n v="238"/>
    <x v="0"/>
    <s v="technology/hardware"/>
    <n v="674"/>
    <n v="70.849999999999994"/>
    <x v="2"/>
    <x v="30"/>
    <x v="1972"/>
    <d v="2012-11-18T01:17:24"/>
    <x v="13"/>
    <x v="5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x v="1"/>
    <n v="2051"/>
    <x v="0"/>
    <s v="technology/hardware"/>
    <n v="257"/>
    <n v="247.94"/>
    <x v="2"/>
    <x v="30"/>
    <x v="1973"/>
    <d v="2016-08-06T07:00:00"/>
    <x v="594"/>
    <x v="2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x v="1"/>
    <n v="402"/>
    <x v="0"/>
    <s v="technology/hardware"/>
    <n v="375"/>
    <n v="186.81"/>
    <x v="2"/>
    <x v="30"/>
    <x v="1974"/>
    <d v="2013-08-19T08:01:09"/>
    <x v="14"/>
    <x v="4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x v="1975"/>
    <x v="1"/>
    <n v="253"/>
    <x v="0"/>
    <s v="technology/hardware"/>
    <n v="209"/>
    <n v="131.99"/>
    <x v="2"/>
    <x v="30"/>
    <x v="1975"/>
    <d v="2013-03-10T18:07:31"/>
    <x v="1"/>
    <x v="4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x v="1"/>
    <n v="473"/>
    <x v="0"/>
    <s v="technology/hardware"/>
    <n v="347"/>
    <n v="29.31"/>
    <x v="2"/>
    <x v="30"/>
    <x v="1976"/>
    <d v="2013-07-13T21:35:25"/>
    <x v="1"/>
    <x v="4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x v="1"/>
    <n v="821"/>
    <x v="0"/>
    <s v="technology/hardware"/>
    <n v="402"/>
    <n v="245.02"/>
    <x v="2"/>
    <x v="30"/>
    <x v="1977"/>
    <d v="2015-12-19T07:59:00"/>
    <x v="595"/>
    <x v="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x v="1"/>
    <n v="388"/>
    <x v="0"/>
    <s v="technology/hardware"/>
    <n v="1027"/>
    <n v="1323.25"/>
    <x v="2"/>
    <x v="30"/>
    <x v="1978"/>
    <d v="2012-06-12T07:00:00"/>
    <x v="596"/>
    <x v="5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x v="1"/>
    <n v="813"/>
    <x v="0"/>
    <s v="technology/hardware"/>
    <n v="115"/>
    <n v="282.66000000000003"/>
    <x v="2"/>
    <x v="30"/>
    <x v="1979"/>
    <d v="2015-11-19T04:59:00"/>
    <x v="597"/>
    <x v="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x v="1980"/>
    <x v="1"/>
    <n v="1945"/>
    <x v="0"/>
    <s v="technology/hardware"/>
    <n v="355"/>
    <n v="91.21"/>
    <x v="2"/>
    <x v="30"/>
    <x v="1980"/>
    <d v="2016-04-03T12:01:02"/>
    <x v="136"/>
    <x v="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x v="0"/>
    <n v="12"/>
    <x v="1"/>
    <s v="photography/people"/>
    <n v="5"/>
    <n v="31.75"/>
    <x v="8"/>
    <x v="31"/>
    <x v="1981"/>
    <d v="2014-07-09T17:24:25"/>
    <x v="1"/>
    <x v="3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x v="0"/>
    <n v="0"/>
    <x v="1"/>
    <s v="photography/people"/>
    <n v="0"/>
    <n v="0"/>
    <x v="8"/>
    <x v="31"/>
    <x v="1982"/>
    <d v="2016-12-04T15:04:47"/>
    <x v="13"/>
    <x v="2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x v="0"/>
    <n v="16"/>
    <x v="1"/>
    <s v="photography/people"/>
    <n v="4"/>
    <n v="88.69"/>
    <x v="8"/>
    <x v="31"/>
    <x v="1983"/>
    <d v="2016-09-02T07:00:00"/>
    <x v="598"/>
    <x v="2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x v="0"/>
    <n v="7"/>
    <x v="1"/>
    <s v="photography/people"/>
    <n v="21"/>
    <n v="453.14"/>
    <x v="8"/>
    <x v="31"/>
    <x v="1984"/>
    <d v="2014-11-30T19:58:01"/>
    <x v="27"/>
    <x v="3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x v="0"/>
    <n v="4"/>
    <x v="1"/>
    <s v="photography/people"/>
    <n v="3"/>
    <n v="12.75"/>
    <x v="8"/>
    <x v="31"/>
    <x v="1985"/>
    <d v="2016-08-02T23:00:00"/>
    <x v="599"/>
    <x v="2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x v="0"/>
    <n v="1"/>
    <x v="1"/>
    <s v="photography/people"/>
    <n v="0"/>
    <n v="1"/>
    <x v="8"/>
    <x v="31"/>
    <x v="1986"/>
    <d v="2016-03-14T09:24:43"/>
    <x v="22"/>
    <x v="2"/>
  </r>
  <r>
    <x v="1987"/>
    <s v="Ethiopia: Beheld"/>
    <s v="A collection of images that depicts the beauty and diversity within Ethiopia"/>
    <x v="62"/>
    <x v="1366"/>
    <x v="2"/>
    <x v="1"/>
    <s v="GBP"/>
    <n v="1425223276"/>
    <x v="1987"/>
    <x v="0"/>
    <n v="28"/>
    <x v="1"/>
    <s v="photography/people"/>
    <n v="42"/>
    <n v="83.43"/>
    <x v="8"/>
    <x v="31"/>
    <x v="1987"/>
    <d v="2015-03-01T15:21:16"/>
    <x v="1"/>
    <x v="0"/>
  </r>
  <r>
    <x v="1988"/>
    <s v="Phillip Michael Photography"/>
    <s v="Expressing art in an image!"/>
    <x v="12"/>
    <x v="379"/>
    <x v="2"/>
    <x v="0"/>
    <s v="USD"/>
    <n v="1440094742"/>
    <x v="1988"/>
    <x v="0"/>
    <n v="1"/>
    <x v="1"/>
    <s v="photography/people"/>
    <n v="0"/>
    <n v="25"/>
    <x v="8"/>
    <x v="31"/>
    <x v="1988"/>
    <d v="2015-08-20T18:19:02"/>
    <x v="1"/>
    <x v="0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x v="0"/>
    <n v="1"/>
    <x v="1"/>
    <s v="photography/people"/>
    <n v="1"/>
    <n v="50"/>
    <x v="8"/>
    <x v="31"/>
    <x v="1989"/>
    <d v="2016-12-11T16:20:08"/>
    <x v="1"/>
    <x v="2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x v="0"/>
    <n v="5"/>
    <x v="1"/>
    <s v="photography/people"/>
    <n v="17"/>
    <n v="101.8"/>
    <x v="8"/>
    <x v="31"/>
    <x v="1990"/>
    <d v="2016-02-13T04:42:12"/>
    <x v="20"/>
    <x v="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x v="1991"/>
    <x v="0"/>
    <n v="3"/>
    <x v="1"/>
    <s v="photography/people"/>
    <n v="7"/>
    <n v="46.67"/>
    <x v="8"/>
    <x v="31"/>
    <x v="1991"/>
    <d v="2015-07-03T21:26:26"/>
    <x v="31"/>
    <x v="0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x v="1992"/>
    <x v="0"/>
    <n v="2"/>
    <x v="1"/>
    <s v="photography/people"/>
    <n v="0"/>
    <n v="1"/>
    <x v="8"/>
    <x v="31"/>
    <x v="1992"/>
    <d v="2015-02-18T03:26:31"/>
    <x v="1"/>
    <x v="0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x v="0"/>
    <n v="0"/>
    <x v="1"/>
    <s v="photography/people"/>
    <n v="0"/>
    <n v="0"/>
    <x v="8"/>
    <x v="31"/>
    <x v="1993"/>
    <d v="2015-12-21T14:07:17"/>
    <x v="1"/>
    <x v="0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x v="0"/>
    <n v="0"/>
    <x v="1"/>
    <s v="photography/people"/>
    <n v="0"/>
    <n v="0"/>
    <x v="8"/>
    <x v="31"/>
    <x v="1994"/>
    <d v="2016-12-07T01:09:02"/>
    <x v="27"/>
    <x v="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x v="0"/>
    <n v="3"/>
    <x v="1"/>
    <s v="photography/people"/>
    <n v="8"/>
    <n v="26"/>
    <x v="8"/>
    <x v="31"/>
    <x v="1995"/>
    <d v="2015-07-16T21:38:56"/>
    <x v="51"/>
    <x v="0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x v="0"/>
    <n v="0"/>
    <x v="1"/>
    <s v="photography/people"/>
    <n v="0"/>
    <n v="0"/>
    <x v="8"/>
    <x v="31"/>
    <x v="1996"/>
    <d v="2014-07-10T19:40:11"/>
    <x v="1"/>
    <x v="3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x v="0"/>
    <n v="0"/>
    <x v="1"/>
    <s v="photography/people"/>
    <n v="0"/>
    <n v="0"/>
    <x v="8"/>
    <x v="31"/>
    <x v="1997"/>
    <d v="2014-08-26T22:20:12"/>
    <x v="1"/>
    <x v="3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x v="0"/>
    <n v="3"/>
    <x v="1"/>
    <s v="photography/people"/>
    <n v="26"/>
    <n v="218.33"/>
    <x v="8"/>
    <x v="31"/>
    <x v="1998"/>
    <d v="2014-08-01T02:50:38"/>
    <x v="26"/>
    <x v="3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x v="0"/>
    <n v="7"/>
    <x v="1"/>
    <s v="photography/people"/>
    <n v="1"/>
    <n v="33.71"/>
    <x v="8"/>
    <x v="31"/>
    <x v="1999"/>
    <d v="2014-11-13T12:35:08"/>
    <x v="13"/>
    <x v="3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x v="0"/>
    <n v="25"/>
    <x v="1"/>
    <s v="photography/people"/>
    <n v="13"/>
    <n v="25"/>
    <x v="8"/>
    <x v="31"/>
    <x v="2000"/>
    <d v="2016-01-06T22:50:13"/>
    <x v="1"/>
    <x v="0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x v="1"/>
    <n v="1637"/>
    <x v="0"/>
    <s v="technology/hardware"/>
    <n v="382"/>
    <n v="128.38999999999999"/>
    <x v="2"/>
    <x v="30"/>
    <x v="2001"/>
    <d v="2015-06-12T20:00:00"/>
    <x v="195"/>
    <x v="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x v="1"/>
    <n v="1375"/>
    <x v="0"/>
    <s v="technology/hardware"/>
    <n v="217"/>
    <n v="78.83"/>
    <x v="2"/>
    <x v="30"/>
    <x v="2002"/>
    <d v="2017-01-23T17:05:43"/>
    <x v="1"/>
    <x v="2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x v="1"/>
    <n v="17"/>
    <x v="0"/>
    <s v="technology/hardware"/>
    <n v="312"/>
    <n v="91.76"/>
    <x v="2"/>
    <x v="30"/>
    <x v="2003"/>
    <d v="2010-07-02T23:00:00"/>
    <x v="600"/>
    <x v="7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x v="1"/>
    <n v="354"/>
    <x v="0"/>
    <s v="technology/hardware"/>
    <n v="234"/>
    <n v="331.1"/>
    <x v="2"/>
    <x v="30"/>
    <x v="2004"/>
    <d v="2014-07-10T14:31:03"/>
    <x v="1"/>
    <x v="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x v="1"/>
    <n v="191"/>
    <x v="0"/>
    <s v="technology/hardware"/>
    <n v="124"/>
    <n v="194.26"/>
    <x v="2"/>
    <x v="30"/>
    <x v="2005"/>
    <d v="2013-10-16T03:59:00"/>
    <x v="601"/>
    <x v="4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x v="1"/>
    <n v="303"/>
    <x v="0"/>
    <s v="technology/hardware"/>
    <n v="248"/>
    <n v="408.98"/>
    <x v="2"/>
    <x v="30"/>
    <x v="2006"/>
    <d v="2014-12-03T13:00:45"/>
    <x v="1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x v="1"/>
    <n v="137"/>
    <x v="0"/>
    <s v="technology/hardware"/>
    <n v="116"/>
    <n v="84.46"/>
    <x v="2"/>
    <x v="30"/>
    <x v="2007"/>
    <d v="2010-08-24T04:00:00"/>
    <x v="602"/>
    <x v="7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x v="1"/>
    <n v="41"/>
    <x v="0"/>
    <s v="technology/hardware"/>
    <n v="117"/>
    <n v="44.85"/>
    <x v="2"/>
    <x v="30"/>
    <x v="2008"/>
    <d v="2011-09-19T14:30:22"/>
    <x v="603"/>
    <x v="6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x v="1"/>
    <n v="398"/>
    <x v="0"/>
    <s v="technology/hardware"/>
    <n v="305"/>
    <n v="383.36"/>
    <x v="2"/>
    <x v="30"/>
    <x v="2009"/>
    <d v="2016-11-23T08:45:43"/>
    <x v="604"/>
    <x v="2"/>
  </r>
  <r>
    <x v="2010"/>
    <s v="Weighitz: Weigh Smarter"/>
    <s v="Weighitz are miniature smart scales designed to weigh anything in the home."/>
    <x v="11"/>
    <x v="1380"/>
    <x v="0"/>
    <x v="0"/>
    <s v="USD"/>
    <n v="1471564491"/>
    <x v="2010"/>
    <x v="1"/>
    <n v="1737"/>
    <x v="0"/>
    <s v="technology/hardware"/>
    <n v="320"/>
    <n v="55.28"/>
    <x v="2"/>
    <x v="30"/>
    <x v="2010"/>
    <d v="2016-08-18T23:54:51"/>
    <x v="1"/>
    <x v="2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x v="1"/>
    <n v="971"/>
    <x v="0"/>
    <s v="technology/hardware"/>
    <n v="820"/>
    <n v="422.02"/>
    <x v="2"/>
    <x v="30"/>
    <x v="2011"/>
    <d v="2016-01-11T23:00:00"/>
    <x v="605"/>
    <x v="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x v="1"/>
    <n v="183"/>
    <x v="0"/>
    <s v="technology/hardware"/>
    <n v="235"/>
    <n v="64.180000000000007"/>
    <x v="2"/>
    <x v="30"/>
    <x v="2012"/>
    <d v="2015-02-05T19:44:01"/>
    <x v="1"/>
    <x v="0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x v="1"/>
    <n v="4562"/>
    <x v="0"/>
    <s v="technology/hardware"/>
    <n v="495"/>
    <n v="173.58"/>
    <x v="2"/>
    <x v="30"/>
    <x v="2013"/>
    <d v="2016-07-08T23:03:34"/>
    <x v="14"/>
    <x v="2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x v="1"/>
    <n v="26457"/>
    <x v="0"/>
    <s v="technology/hardware"/>
    <n v="7814"/>
    <n v="88.6"/>
    <x v="2"/>
    <x v="30"/>
    <x v="2014"/>
    <d v="2013-03-25T04:08:59"/>
    <x v="342"/>
    <x v="4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x v="1"/>
    <n v="162"/>
    <x v="0"/>
    <s v="technology/hardware"/>
    <n v="113"/>
    <n v="50.22"/>
    <x v="2"/>
    <x v="30"/>
    <x v="2015"/>
    <d v="2011-09-09T21:02:43"/>
    <x v="1"/>
    <x v="6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x v="1"/>
    <n v="479"/>
    <x v="0"/>
    <s v="technology/hardware"/>
    <n v="922"/>
    <n v="192.39"/>
    <x v="2"/>
    <x v="30"/>
    <x v="2016"/>
    <d v="2013-03-09T21:08:19"/>
    <x v="1"/>
    <x v="4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x v="1"/>
    <n v="426"/>
    <x v="0"/>
    <s v="technology/hardware"/>
    <n v="125"/>
    <n v="73.42"/>
    <x v="2"/>
    <x v="30"/>
    <x v="2017"/>
    <d v="2012-03-24T04:00:00"/>
    <x v="606"/>
    <x v="5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x v="1"/>
    <n v="450"/>
    <x v="0"/>
    <s v="technology/hardware"/>
    <n v="102"/>
    <n v="147.68"/>
    <x v="2"/>
    <x v="30"/>
    <x v="2018"/>
    <d v="2015-08-13T08:46:49"/>
    <x v="1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x v="1"/>
    <n v="1780"/>
    <x v="0"/>
    <s v="technology/hardware"/>
    <n v="485"/>
    <n v="108.97"/>
    <x v="2"/>
    <x v="30"/>
    <x v="2019"/>
    <d v="2016-09-22T17:00:21"/>
    <x v="1"/>
    <x v="2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x v="1"/>
    <n v="122"/>
    <x v="0"/>
    <s v="technology/hardware"/>
    <n v="192"/>
    <n v="23.65"/>
    <x v="2"/>
    <x v="30"/>
    <x v="2020"/>
    <d v="2014-05-14T23:04:00"/>
    <x v="607"/>
    <x v="3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x v="1"/>
    <n v="95"/>
    <x v="0"/>
    <s v="technology/hardware"/>
    <n v="281"/>
    <n v="147.94999999999999"/>
    <x v="2"/>
    <x v="30"/>
    <x v="2021"/>
    <d v="2014-09-24T01:41:37"/>
    <x v="26"/>
    <x v="3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x v="1"/>
    <n v="325"/>
    <x v="0"/>
    <s v="technology/hardware"/>
    <n v="125"/>
    <n v="385.04"/>
    <x v="2"/>
    <x v="30"/>
    <x v="2022"/>
    <d v="2016-06-11T13:39:32"/>
    <x v="1"/>
    <x v="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x v="1"/>
    <n v="353"/>
    <x v="0"/>
    <s v="technology/hardware"/>
    <n v="161"/>
    <n v="457.39"/>
    <x v="2"/>
    <x v="30"/>
    <x v="2023"/>
    <d v="2015-06-11T10:05:53"/>
    <x v="1"/>
    <x v="0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x v="1"/>
    <n v="105"/>
    <x v="0"/>
    <s v="technology/hardware"/>
    <n v="585"/>
    <n v="222.99"/>
    <x v="2"/>
    <x v="30"/>
    <x v="2024"/>
    <d v="2012-08-13T03:00:00"/>
    <x v="608"/>
    <x v="5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x v="1"/>
    <n v="729"/>
    <x v="0"/>
    <s v="technology/hardware"/>
    <n v="201"/>
    <n v="220.74"/>
    <x v="2"/>
    <x v="30"/>
    <x v="2025"/>
    <d v="2015-06-11T04:25:46"/>
    <x v="1"/>
    <x v="0"/>
  </r>
  <r>
    <x v="2026"/>
    <s v="MIDI Sprout - Biodata Sonification Device"/>
    <s v="MIDI Sprout enables plants to play synthesizers in real time."/>
    <x v="31"/>
    <x v="1396"/>
    <x v="0"/>
    <x v="0"/>
    <s v="USD"/>
    <n v="1398052740"/>
    <x v="2026"/>
    <x v="1"/>
    <n v="454"/>
    <x v="0"/>
    <s v="technology/hardware"/>
    <n v="133"/>
    <n v="73.5"/>
    <x v="2"/>
    <x v="30"/>
    <x v="2026"/>
    <d v="2014-04-21T03:59:00"/>
    <x v="12"/>
    <x v="3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x v="1"/>
    <n v="539"/>
    <x v="0"/>
    <s v="technology/hardware"/>
    <n v="120"/>
    <n v="223.1"/>
    <x v="2"/>
    <x v="30"/>
    <x v="2027"/>
    <d v="2015-03-30T18:31:59"/>
    <x v="129"/>
    <x v="0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x v="1"/>
    <n v="79"/>
    <x v="0"/>
    <s v="technology/hardware"/>
    <n v="126"/>
    <n v="47.91"/>
    <x v="2"/>
    <x v="30"/>
    <x v="2028"/>
    <d v="2010-03-15T21:55:00"/>
    <x v="329"/>
    <x v="7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x v="2029"/>
    <x v="1"/>
    <n v="94"/>
    <x v="0"/>
    <s v="technology/hardware"/>
    <n v="361"/>
    <n v="96.06"/>
    <x v="2"/>
    <x v="30"/>
    <x v="2029"/>
    <d v="2014-08-27T00:31:21"/>
    <x v="1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x v="1"/>
    <n v="625"/>
    <x v="0"/>
    <s v="technology/hardware"/>
    <n v="226"/>
    <n v="118.61"/>
    <x v="2"/>
    <x v="30"/>
    <x v="2030"/>
    <d v="2012-11-29T23:54:56"/>
    <x v="1"/>
    <x v="5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x v="1"/>
    <n v="508"/>
    <x v="0"/>
    <s v="technology/hardware"/>
    <n v="120"/>
    <n v="118.45"/>
    <x v="2"/>
    <x v="30"/>
    <x v="2031"/>
    <d v="2015-01-09T01:00:00"/>
    <x v="609"/>
    <x v="3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x v="1"/>
    <n v="531"/>
    <x v="0"/>
    <s v="technology/hardware"/>
    <n v="304"/>
    <n v="143.21"/>
    <x v="2"/>
    <x v="30"/>
    <x v="2032"/>
    <d v="2016-12-15T05:00:00"/>
    <x v="610"/>
    <x v="2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x v="1"/>
    <n v="158"/>
    <x v="0"/>
    <s v="technology/hardware"/>
    <n v="179"/>
    <n v="282.72000000000003"/>
    <x v="2"/>
    <x v="30"/>
    <x v="2033"/>
    <d v="2014-04-26T01:58:38"/>
    <x v="1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x v="1"/>
    <n v="508"/>
    <x v="0"/>
    <s v="technology/hardware"/>
    <n v="387"/>
    <n v="593.94000000000005"/>
    <x v="2"/>
    <x v="30"/>
    <x v="2034"/>
    <d v="2015-05-07T06:58:00"/>
    <x v="611"/>
    <x v="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x v="1"/>
    <n v="644"/>
    <x v="0"/>
    <s v="technology/hardware"/>
    <n v="211"/>
    <n v="262.16000000000003"/>
    <x v="2"/>
    <x v="30"/>
    <x v="2035"/>
    <d v="2015-12-19T01:00:00"/>
    <x v="612"/>
    <x v="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x v="1"/>
    <n v="848"/>
    <x v="0"/>
    <s v="technology/hardware"/>
    <n v="132"/>
    <n v="46.58"/>
    <x v="2"/>
    <x v="30"/>
    <x v="2036"/>
    <d v="2014-05-09T20:45:19"/>
    <x v="1"/>
    <x v="3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x v="1"/>
    <n v="429"/>
    <x v="0"/>
    <s v="technology/hardware"/>
    <n v="300"/>
    <n v="70.040000000000006"/>
    <x v="2"/>
    <x v="30"/>
    <x v="2037"/>
    <d v="2013-12-30T06:02:33"/>
    <x v="27"/>
    <x v="4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x v="1"/>
    <n v="204"/>
    <x v="0"/>
    <s v="technology/hardware"/>
    <n v="421"/>
    <n v="164.91"/>
    <x v="2"/>
    <x v="30"/>
    <x v="2038"/>
    <d v="2013-07-01T18:00:00"/>
    <x v="443"/>
    <x v="4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x v="1"/>
    <n v="379"/>
    <x v="0"/>
    <s v="technology/hardware"/>
    <n v="136"/>
    <n v="449.26"/>
    <x v="2"/>
    <x v="30"/>
    <x v="2039"/>
    <d v="2016-12-01T04:59:00"/>
    <x v="613"/>
    <x v="2"/>
  </r>
  <r>
    <x v="2040"/>
    <s v="Programmable Capacitor"/>
    <s v="4.29 Billion+ Capacitor Combinations._x000a_No Coding Required."/>
    <x v="9"/>
    <x v="1410"/>
    <x v="0"/>
    <x v="0"/>
    <s v="USD"/>
    <n v="1384557303"/>
    <x v="2040"/>
    <x v="1"/>
    <n v="271"/>
    <x v="0"/>
    <s v="technology/hardware"/>
    <n v="248"/>
    <n v="27.47"/>
    <x v="2"/>
    <x v="30"/>
    <x v="2040"/>
    <d v="2013-11-15T23:15:03"/>
    <x v="614"/>
    <x v="4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x v="0"/>
    <n v="120"/>
    <x v="0"/>
    <s v="technology/hardware"/>
    <n v="182"/>
    <n v="143.97999999999999"/>
    <x v="2"/>
    <x v="30"/>
    <x v="2041"/>
    <d v="2016-11-10T13:37:07"/>
    <x v="13"/>
    <x v="2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x v="0"/>
    <n v="140"/>
    <x v="0"/>
    <s v="technology/hardware"/>
    <n v="124"/>
    <n v="88.24"/>
    <x v="2"/>
    <x v="30"/>
    <x v="2042"/>
    <d v="2016-01-22T16:59:34"/>
    <x v="1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x v="0"/>
    <n v="193"/>
    <x v="0"/>
    <s v="technology/hardware"/>
    <n v="506"/>
    <n v="36.33"/>
    <x v="2"/>
    <x v="30"/>
    <x v="2043"/>
    <d v="2016-12-11T04:59:00"/>
    <x v="615"/>
    <x v="2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x v="0"/>
    <n v="180"/>
    <x v="0"/>
    <s v="technology/hardware"/>
    <n v="108"/>
    <n v="90.18"/>
    <x v="2"/>
    <x v="30"/>
    <x v="2044"/>
    <d v="2015-06-13T16:25:14"/>
    <x v="1"/>
    <x v="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x v="0"/>
    <n v="263"/>
    <x v="0"/>
    <s v="technology/hardware"/>
    <n v="819"/>
    <n v="152.62"/>
    <x v="2"/>
    <x v="30"/>
    <x v="2045"/>
    <d v="2012-07-09T02:07:27"/>
    <x v="1"/>
    <x v="5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x v="0"/>
    <n v="217"/>
    <x v="0"/>
    <s v="technology/hardware"/>
    <n v="121"/>
    <n v="55.81"/>
    <x v="2"/>
    <x v="30"/>
    <x v="2046"/>
    <d v="2013-05-23T04:07:24"/>
    <x v="1"/>
    <x v="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x v="0"/>
    <n v="443"/>
    <x v="0"/>
    <s v="technology/hardware"/>
    <n v="103"/>
    <n v="227.85"/>
    <x v="2"/>
    <x v="30"/>
    <x v="2047"/>
    <d v="2015-04-17T00:00:00"/>
    <x v="616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x v="0"/>
    <n v="1373"/>
    <x v="0"/>
    <s v="technology/hardware"/>
    <n v="148"/>
    <n v="91.83"/>
    <x v="2"/>
    <x v="30"/>
    <x v="2048"/>
    <d v="2013-05-23T15:38:11"/>
    <x v="1"/>
    <x v="4"/>
  </r>
  <r>
    <x v="2049"/>
    <s v="LOCK8 - the World's First Smart Bike Lock"/>
    <s v="Keyless. Alarm secured. GPS tracking."/>
    <x v="63"/>
    <x v="1419"/>
    <x v="0"/>
    <x v="1"/>
    <s v="GBP"/>
    <n v="1386025140"/>
    <x v="2049"/>
    <x v="0"/>
    <n v="742"/>
    <x v="0"/>
    <s v="technology/hardware"/>
    <n v="120"/>
    <n v="80.989999999999995"/>
    <x v="2"/>
    <x v="30"/>
    <x v="2049"/>
    <d v="2013-12-02T22:59:00"/>
    <x v="617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x v="0"/>
    <n v="170"/>
    <x v="0"/>
    <s v="technology/hardware"/>
    <n v="473"/>
    <n v="278.39"/>
    <x v="2"/>
    <x v="30"/>
    <x v="2050"/>
    <d v="2015-05-31T01:42:58"/>
    <x v="4"/>
    <x v="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x v="0"/>
    <n v="242"/>
    <x v="0"/>
    <s v="technology/hardware"/>
    <n v="130"/>
    <n v="43.1"/>
    <x v="2"/>
    <x v="30"/>
    <x v="2051"/>
    <d v="2013-12-26T00:32:17"/>
    <x v="1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x v="0"/>
    <n v="541"/>
    <x v="0"/>
    <s v="technology/hardware"/>
    <n v="353"/>
    <n v="326.29000000000002"/>
    <x v="2"/>
    <x v="30"/>
    <x v="2052"/>
    <d v="2016-02-20T02:00:53"/>
    <x v="26"/>
    <x v="2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x v="0"/>
    <n v="121"/>
    <x v="0"/>
    <s v="technology/hardware"/>
    <n v="101"/>
    <n v="41.74"/>
    <x v="2"/>
    <x v="30"/>
    <x v="2053"/>
    <d v="2015-11-25T15:49:11"/>
    <x v="13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x v="0"/>
    <n v="621"/>
    <x v="0"/>
    <s v="technology/hardware"/>
    <n v="114"/>
    <n v="64.02"/>
    <x v="2"/>
    <x v="30"/>
    <x v="2054"/>
    <d v="2014-05-02T12:30:10"/>
    <x v="1"/>
    <x v="3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x v="0"/>
    <n v="101"/>
    <x v="0"/>
    <s v="technology/hardware"/>
    <n v="167"/>
    <n v="99.46"/>
    <x v="2"/>
    <x v="30"/>
    <x v="2055"/>
    <d v="2014-12-03T04:00:00"/>
    <x v="618"/>
    <x v="3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x v="0"/>
    <n v="554"/>
    <x v="0"/>
    <s v="technology/hardware"/>
    <n v="153"/>
    <n v="138.49"/>
    <x v="2"/>
    <x v="30"/>
    <x v="2056"/>
    <d v="2013-04-17T18:15:42"/>
    <x v="1"/>
    <x v="4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x v="0"/>
    <n v="666"/>
    <x v="0"/>
    <s v="technology/hardware"/>
    <n v="202"/>
    <n v="45.55"/>
    <x v="2"/>
    <x v="30"/>
    <x v="2057"/>
    <d v="2016-02-26T11:52:12"/>
    <x v="1"/>
    <x v="2"/>
  </r>
  <r>
    <x v="2058"/>
    <s v="Raspberry Pi Debug Clip"/>
    <s v="Making using the serial terminal on the Raspberry Pi as easy as Pi!"/>
    <x v="317"/>
    <x v="1427"/>
    <x v="0"/>
    <x v="1"/>
    <s v="GBP"/>
    <n v="1425326400"/>
    <x v="2058"/>
    <x v="0"/>
    <n v="410"/>
    <x v="0"/>
    <s v="technology/hardware"/>
    <n v="168"/>
    <n v="10.51"/>
    <x v="2"/>
    <x v="30"/>
    <x v="2058"/>
    <d v="2015-03-02T20:00:00"/>
    <x v="619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x v="0"/>
    <n v="375"/>
    <x v="0"/>
    <s v="technology/hardware"/>
    <n v="143"/>
    <n v="114.77"/>
    <x v="2"/>
    <x v="30"/>
    <x v="2059"/>
    <d v="2016-01-31T21:59:00"/>
    <x v="62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x v="0"/>
    <n v="1364"/>
    <x v="0"/>
    <s v="technology/hardware"/>
    <n v="196"/>
    <n v="36"/>
    <x v="2"/>
    <x v="30"/>
    <x v="2060"/>
    <d v="2014-07-23T15:25:50"/>
    <x v="14"/>
    <x v="3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x v="0"/>
    <n v="35"/>
    <x v="0"/>
    <s v="technology/hardware"/>
    <n v="108"/>
    <n v="154.16999999999999"/>
    <x v="2"/>
    <x v="30"/>
    <x v="2061"/>
    <d v="2016-12-31T18:20:54"/>
    <x v="1"/>
    <x v="2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x v="0"/>
    <n v="203"/>
    <x v="0"/>
    <s v="technology/hardware"/>
    <n v="115"/>
    <n v="566.39"/>
    <x v="2"/>
    <x v="30"/>
    <x v="2062"/>
    <d v="2016-03-24T08:11:38"/>
    <x v="22"/>
    <x v="2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x v="0"/>
    <n v="49"/>
    <x v="0"/>
    <s v="technology/hardware"/>
    <n v="148"/>
    <n v="120.86"/>
    <x v="2"/>
    <x v="30"/>
    <x v="2063"/>
    <d v="2016-05-15T17:35:01"/>
    <x v="17"/>
    <x v="2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x v="0"/>
    <n v="5812"/>
    <x v="0"/>
    <s v="technology/hardware"/>
    <n v="191"/>
    <n v="86.16"/>
    <x v="2"/>
    <x v="30"/>
    <x v="2064"/>
    <d v="2013-05-31T12:00:00"/>
    <x v="621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x v="0"/>
    <n v="1556"/>
    <x v="0"/>
    <s v="technology/hardware"/>
    <n v="199"/>
    <n v="51.21"/>
    <x v="2"/>
    <x v="30"/>
    <x v="2065"/>
    <d v="2013-12-25T08:00:29"/>
    <x v="1"/>
    <x v="4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x v="0"/>
    <n v="65"/>
    <x v="0"/>
    <s v="technology/hardware"/>
    <n v="219"/>
    <n v="67.260000000000005"/>
    <x v="2"/>
    <x v="30"/>
    <x v="2066"/>
    <d v="2014-08-23T18:31:23"/>
    <x v="1"/>
    <x v="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x v="0"/>
    <n v="10"/>
    <x v="0"/>
    <s v="technology/hardware"/>
    <n v="127"/>
    <n v="62.8"/>
    <x v="2"/>
    <x v="30"/>
    <x v="2067"/>
    <d v="2015-05-24T20:29:36"/>
    <x v="17"/>
    <x v="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x v="0"/>
    <n v="76"/>
    <x v="0"/>
    <s v="technology/hardware"/>
    <n v="105"/>
    <n v="346.13"/>
    <x v="2"/>
    <x v="30"/>
    <x v="2068"/>
    <d v="2016-10-20T20:11:55"/>
    <x v="1"/>
    <x v="2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x v="0"/>
    <n v="263"/>
    <x v="0"/>
    <s v="technology/hardware"/>
    <n v="128"/>
    <n v="244.12"/>
    <x v="2"/>
    <x v="30"/>
    <x v="2069"/>
    <d v="2016-01-02T23:19:51"/>
    <x v="102"/>
    <x v="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x v="0"/>
    <n v="1530"/>
    <x v="0"/>
    <s v="technology/hardware"/>
    <n v="317"/>
    <n v="259.25"/>
    <x v="2"/>
    <x v="30"/>
    <x v="2070"/>
    <d v="2016-06-28T15:45:23"/>
    <x v="1"/>
    <x v="2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x v="0"/>
    <n v="278"/>
    <x v="0"/>
    <s v="technology/hardware"/>
    <n v="281"/>
    <n v="201.96"/>
    <x v="2"/>
    <x v="30"/>
    <x v="2071"/>
    <d v="2016-10-02T06:41:24"/>
    <x v="26"/>
    <x v="2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x v="0"/>
    <n v="350"/>
    <x v="0"/>
    <s v="technology/hardware"/>
    <n v="111"/>
    <n v="226.21"/>
    <x v="2"/>
    <x v="30"/>
    <x v="2072"/>
    <d v="2016-05-07T13:57:12"/>
    <x v="1"/>
    <x v="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x v="0"/>
    <n v="470"/>
    <x v="0"/>
    <s v="technology/hardware"/>
    <n v="153"/>
    <n v="324.69"/>
    <x v="2"/>
    <x v="30"/>
    <x v="2073"/>
    <d v="2015-05-08T16:01:58"/>
    <x v="26"/>
    <x v="0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x v="0"/>
    <n v="3"/>
    <x v="0"/>
    <s v="technology/hardware"/>
    <n v="103"/>
    <n v="205"/>
    <x v="2"/>
    <x v="30"/>
    <x v="2074"/>
    <d v="2016-05-06T19:49:42"/>
    <x v="1"/>
    <x v="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x v="0"/>
    <n v="8200"/>
    <x v="0"/>
    <s v="technology/hardware"/>
    <n v="1678"/>
    <n v="20.47"/>
    <x v="2"/>
    <x v="30"/>
    <x v="2075"/>
    <d v="2013-07-25T16:21:28"/>
    <x v="1"/>
    <x v="4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x v="0"/>
    <n v="8359"/>
    <x v="0"/>
    <s v="technology/hardware"/>
    <n v="543"/>
    <n v="116.35"/>
    <x v="2"/>
    <x v="30"/>
    <x v="2076"/>
    <d v="2014-07-23T21:08:09"/>
    <x v="4"/>
    <x v="3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x v="0"/>
    <n v="188"/>
    <x v="0"/>
    <s v="technology/hardware"/>
    <n v="116"/>
    <n v="307.2"/>
    <x v="2"/>
    <x v="30"/>
    <x v="2077"/>
    <d v="2015-06-05T21:00:00"/>
    <x v="622"/>
    <x v="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x v="0"/>
    <n v="48"/>
    <x v="0"/>
    <s v="technology/hardware"/>
    <n v="131"/>
    <n v="546.69000000000005"/>
    <x v="2"/>
    <x v="30"/>
    <x v="2078"/>
    <d v="2016-12-18T18:30:57"/>
    <x v="1"/>
    <x v="2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x v="0"/>
    <n v="607"/>
    <x v="0"/>
    <s v="technology/hardware"/>
    <n v="288"/>
    <n v="47.47"/>
    <x v="2"/>
    <x v="30"/>
    <x v="2079"/>
    <d v="2015-06-25T19:00:00"/>
    <x v="623"/>
    <x v="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x v="0"/>
    <n v="50"/>
    <x v="0"/>
    <s v="technology/hardware"/>
    <n v="508"/>
    <n v="101.56"/>
    <x v="2"/>
    <x v="30"/>
    <x v="2080"/>
    <d v="2015-11-11T23:58:20"/>
    <x v="13"/>
    <x v="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x v="0"/>
    <n v="55"/>
    <x v="0"/>
    <s v="music/indie rock"/>
    <n v="115"/>
    <n v="72.91"/>
    <x v="4"/>
    <x v="14"/>
    <x v="2081"/>
    <d v="2012-05-16T04:59:00"/>
    <x v="624"/>
    <x v="5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x v="0"/>
    <n v="38"/>
    <x v="0"/>
    <s v="music/indie rock"/>
    <n v="111"/>
    <n v="43.71"/>
    <x v="4"/>
    <x v="14"/>
    <x v="2082"/>
    <d v="2011-11-24T03:53:16"/>
    <x v="27"/>
    <x v="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x v="0"/>
    <n v="25"/>
    <x v="0"/>
    <s v="music/indie rock"/>
    <n v="113"/>
    <n v="34"/>
    <x v="4"/>
    <x v="14"/>
    <x v="2083"/>
    <d v="2012-06-04T17:19:55"/>
    <x v="1"/>
    <x v="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x v="0"/>
    <n v="46"/>
    <x v="0"/>
    <s v="music/indie rock"/>
    <n v="108"/>
    <n v="70.650000000000006"/>
    <x v="4"/>
    <x v="14"/>
    <x v="2084"/>
    <d v="2014-05-04T06:59:00"/>
    <x v="625"/>
    <x v="3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x v="0"/>
    <n v="83"/>
    <x v="0"/>
    <s v="music/indie rock"/>
    <n v="124"/>
    <n v="89.3"/>
    <x v="4"/>
    <x v="14"/>
    <x v="2085"/>
    <d v="2012-07-15T20:03:07"/>
    <x v="1"/>
    <x v="5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x v="0"/>
    <n v="35"/>
    <x v="0"/>
    <s v="music/indie rock"/>
    <n v="101"/>
    <n v="115.09"/>
    <x v="4"/>
    <x v="14"/>
    <x v="2086"/>
    <d v="2011-12-14T04:59:00"/>
    <x v="626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x v="0"/>
    <n v="25"/>
    <x v="0"/>
    <s v="music/indie rock"/>
    <n v="104"/>
    <n v="62.12"/>
    <x v="4"/>
    <x v="14"/>
    <x v="2087"/>
    <d v="2011-09-08T04:54:18"/>
    <x v="1"/>
    <x v="6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x v="0"/>
    <n v="75"/>
    <x v="0"/>
    <s v="music/indie rock"/>
    <n v="116"/>
    <n v="46.2"/>
    <x v="4"/>
    <x v="14"/>
    <x v="2088"/>
    <d v="2010-09-11T03:59:00"/>
    <x v="627"/>
    <x v="7"/>
  </r>
  <r>
    <x v="2089"/>
    <s v="Little Moses EP"/>
    <s v="Little Moses is trying to record their first EP, and we can't do it without your help!"/>
    <x v="30"/>
    <x v="1457"/>
    <x v="0"/>
    <x v="0"/>
    <s v="USD"/>
    <n v="1375408194"/>
    <x v="2089"/>
    <x v="0"/>
    <n v="62"/>
    <x v="0"/>
    <s v="music/indie rock"/>
    <n v="120"/>
    <n v="48.55"/>
    <x v="4"/>
    <x v="14"/>
    <x v="2089"/>
    <d v="2013-08-02T01:49:54"/>
    <x v="6"/>
    <x v="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x v="0"/>
    <n v="160"/>
    <x v="0"/>
    <s v="music/indie rock"/>
    <n v="115"/>
    <n v="57.52"/>
    <x v="4"/>
    <x v="14"/>
    <x v="2090"/>
    <d v="2013-02-24T09:09:15"/>
    <x v="1"/>
    <x v="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x v="0"/>
    <n v="246"/>
    <x v="0"/>
    <s v="music/indie rock"/>
    <n v="120"/>
    <n v="88.15"/>
    <x v="4"/>
    <x v="14"/>
    <x v="2091"/>
    <d v="2011-03-01T20:00:00"/>
    <x v="628"/>
    <x v="6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x v="0"/>
    <n v="55"/>
    <x v="0"/>
    <s v="music/indie rock"/>
    <n v="101"/>
    <n v="110.49"/>
    <x v="4"/>
    <x v="14"/>
    <x v="2092"/>
    <d v="2011-10-07T16:58:52"/>
    <x v="14"/>
    <x v="6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x v="0"/>
    <n v="23"/>
    <x v="0"/>
    <s v="music/indie rock"/>
    <n v="102"/>
    <n v="66.83"/>
    <x v="4"/>
    <x v="14"/>
    <x v="2093"/>
    <d v="2012-12-22T21:30:32"/>
    <x v="27"/>
    <x v="5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x v="0"/>
    <n v="72"/>
    <x v="0"/>
    <s v="music/indie rock"/>
    <n v="121"/>
    <n v="58.6"/>
    <x v="4"/>
    <x v="14"/>
    <x v="2094"/>
    <d v="2012-03-05T03:00:00"/>
    <x v="629"/>
    <x v="5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x v="0"/>
    <n v="22"/>
    <x v="0"/>
    <s v="music/indie rock"/>
    <n v="100"/>
    <n v="113.64"/>
    <x v="4"/>
    <x v="14"/>
    <x v="2095"/>
    <d v="2011-10-02T17:36:13"/>
    <x v="14"/>
    <x v="6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x v="0"/>
    <n v="14"/>
    <x v="0"/>
    <s v="music/indie rock"/>
    <n v="102"/>
    <n v="43.57"/>
    <x v="4"/>
    <x v="14"/>
    <x v="2096"/>
    <d v="2012-10-26T03:59:00"/>
    <x v="630"/>
    <x v="5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x v="0"/>
    <n v="38"/>
    <x v="0"/>
    <s v="music/indie rock"/>
    <n v="100"/>
    <n v="78.95"/>
    <x v="4"/>
    <x v="14"/>
    <x v="2097"/>
    <d v="2011-12-01T15:02:15"/>
    <x v="27"/>
    <x v="6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x v="0"/>
    <n v="32"/>
    <x v="0"/>
    <s v="music/indie rock"/>
    <n v="100"/>
    <n v="188.13"/>
    <x v="4"/>
    <x v="14"/>
    <x v="2098"/>
    <d v="2012-03-08T02:43:55"/>
    <x v="1"/>
    <x v="5"/>
  </r>
  <r>
    <x v="2099"/>
    <s v="Roosevelt Died."/>
    <s v="Our tour van died, we need help!"/>
    <x v="9"/>
    <x v="1464"/>
    <x v="0"/>
    <x v="0"/>
    <s v="USD"/>
    <n v="1435808400"/>
    <x v="2099"/>
    <x v="0"/>
    <n v="63"/>
    <x v="0"/>
    <s v="music/indie rock"/>
    <n v="132"/>
    <n v="63.03"/>
    <x v="4"/>
    <x v="14"/>
    <x v="2099"/>
    <d v="2015-07-02T03:40:00"/>
    <x v="631"/>
    <x v="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x v="0"/>
    <n v="27"/>
    <x v="0"/>
    <s v="music/indie rock"/>
    <n v="137"/>
    <n v="30.37"/>
    <x v="4"/>
    <x v="14"/>
    <x v="2100"/>
    <d v="2012-06-30T03:59:00"/>
    <x v="632"/>
    <x v="5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x v="0"/>
    <n v="44"/>
    <x v="0"/>
    <s v="music/indie rock"/>
    <n v="113"/>
    <n v="51.48"/>
    <x v="4"/>
    <x v="14"/>
    <x v="2101"/>
    <d v="2012-02-13T03:35:14"/>
    <x v="14"/>
    <x v="6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x v="0"/>
    <n v="38"/>
    <x v="0"/>
    <s v="music/indie rock"/>
    <n v="136"/>
    <n v="35.79"/>
    <x v="4"/>
    <x v="14"/>
    <x v="2102"/>
    <d v="2011-05-05T20:50:48"/>
    <x v="1"/>
    <x v="6"/>
  </r>
  <r>
    <x v="2103"/>
    <s v="Matthew Moon's New Album"/>
    <s v="Indie rocker, Matthew Moon, has something to share with you..."/>
    <x v="198"/>
    <x v="1468"/>
    <x v="0"/>
    <x v="0"/>
    <s v="USD"/>
    <n v="1352488027"/>
    <x v="2103"/>
    <x v="0"/>
    <n v="115"/>
    <x v="0"/>
    <s v="music/indie rock"/>
    <n v="146"/>
    <n v="98.82"/>
    <x v="4"/>
    <x v="14"/>
    <x v="2103"/>
    <d v="2012-11-09T19:07:07"/>
    <x v="13"/>
    <x v="5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x v="0"/>
    <n v="37"/>
    <x v="0"/>
    <s v="music/indie rock"/>
    <n v="130"/>
    <n v="28"/>
    <x v="4"/>
    <x v="14"/>
    <x v="2104"/>
    <d v="2013-05-31T00:00:00"/>
    <x v="362"/>
    <x v="4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x v="0"/>
    <n v="99"/>
    <x v="0"/>
    <s v="music/indie rock"/>
    <n v="254"/>
    <n v="51.31"/>
    <x v="4"/>
    <x v="14"/>
    <x v="2105"/>
    <d v="2014-11-21T04:00:00"/>
    <x v="633"/>
    <x v="3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x v="0"/>
    <n v="44"/>
    <x v="0"/>
    <s v="music/indie rock"/>
    <n v="107"/>
    <n v="53.52"/>
    <x v="4"/>
    <x v="14"/>
    <x v="2106"/>
    <d v="2013-01-26T05:09:34"/>
    <x v="1"/>
    <x v="5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x v="0"/>
    <n v="58"/>
    <x v="0"/>
    <s v="music/indie rock"/>
    <n v="108"/>
    <n v="37.15"/>
    <x v="4"/>
    <x v="14"/>
    <x v="2107"/>
    <d v="2014-11-12T18:03:13"/>
    <x v="78"/>
    <x v="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x v="0"/>
    <n v="191"/>
    <x v="0"/>
    <s v="music/indie rock"/>
    <n v="107"/>
    <n v="89.9"/>
    <x v="4"/>
    <x v="14"/>
    <x v="2108"/>
    <d v="2012-09-10T03:55:00"/>
    <x v="357"/>
    <x v="5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x v="0"/>
    <n v="40"/>
    <x v="0"/>
    <s v="music/indie rock"/>
    <n v="107"/>
    <n v="106.53"/>
    <x v="4"/>
    <x v="14"/>
    <x v="2109"/>
    <d v="2015-07-05T17:00:17"/>
    <x v="1"/>
    <x v="0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x v="0"/>
    <n v="38"/>
    <x v="0"/>
    <s v="music/indie rock"/>
    <n v="100"/>
    <n v="52.82"/>
    <x v="4"/>
    <x v="14"/>
    <x v="2110"/>
    <d v="2014-05-28T04:59:00"/>
    <x v="571"/>
    <x v="3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x v="0"/>
    <n v="39"/>
    <x v="0"/>
    <s v="music/indie rock"/>
    <n v="107"/>
    <n v="54.62"/>
    <x v="4"/>
    <x v="14"/>
    <x v="2111"/>
    <d v="2011-08-15T01:00:00"/>
    <x v="634"/>
    <x v="6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x v="0"/>
    <n v="11"/>
    <x v="0"/>
    <s v="music/indie rock"/>
    <n v="100"/>
    <n v="27.27"/>
    <x v="4"/>
    <x v="14"/>
    <x v="2112"/>
    <d v="2013-04-15T22:16:33"/>
    <x v="59"/>
    <x v="4"/>
  </r>
  <r>
    <x v="2113"/>
    <s v="Summer Underground // Honeycomb LP"/>
    <s v="Help us fund our second full-length album Honeycomb!"/>
    <x v="39"/>
    <x v="1475"/>
    <x v="0"/>
    <x v="0"/>
    <s v="USD"/>
    <n v="1411505176"/>
    <x v="2113"/>
    <x v="0"/>
    <n v="107"/>
    <x v="0"/>
    <s v="music/indie rock"/>
    <n v="105"/>
    <n v="68.599999999999994"/>
    <x v="4"/>
    <x v="14"/>
    <x v="2113"/>
    <d v="2014-09-23T20:46:16"/>
    <x v="6"/>
    <x v="3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x v="0"/>
    <n v="147"/>
    <x v="0"/>
    <s v="music/indie rock"/>
    <n v="105"/>
    <n v="35.61"/>
    <x v="4"/>
    <x v="14"/>
    <x v="2114"/>
    <d v="2010-12-09T04:59:00"/>
    <x v="635"/>
    <x v="7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x v="0"/>
    <n v="36"/>
    <x v="0"/>
    <s v="music/indie rock"/>
    <n v="226"/>
    <n v="94.03"/>
    <x v="4"/>
    <x v="14"/>
    <x v="2115"/>
    <d v="2011-02-20T01:56:41"/>
    <x v="1"/>
    <x v="6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x v="0"/>
    <n v="92"/>
    <x v="0"/>
    <s v="music/indie rock"/>
    <n v="101"/>
    <n v="526.46"/>
    <x v="4"/>
    <x v="14"/>
    <x v="2116"/>
    <d v="2012-10-02T18:40:03"/>
    <x v="437"/>
    <x v="5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x v="0"/>
    <n v="35"/>
    <x v="0"/>
    <s v="music/indie rock"/>
    <n v="148"/>
    <n v="50.66"/>
    <x v="4"/>
    <x v="14"/>
    <x v="2117"/>
    <d v="2015-10-27T04:59:00"/>
    <x v="636"/>
    <x v="0"/>
  </r>
  <r>
    <x v="2118"/>
    <s v="PORCHES. vs. THE U.S.A."/>
    <s v="PORCHES.  and Documentarians tour from New York to San Francisco and back."/>
    <x v="28"/>
    <x v="1480"/>
    <x v="0"/>
    <x v="0"/>
    <s v="USD"/>
    <n v="1311538136"/>
    <x v="2118"/>
    <x v="0"/>
    <n v="17"/>
    <x v="0"/>
    <s v="music/indie rock"/>
    <n v="135"/>
    <n v="79.180000000000007"/>
    <x v="4"/>
    <x v="14"/>
    <x v="2118"/>
    <d v="2011-07-24T20:08:56"/>
    <x v="1"/>
    <x v="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x v="0"/>
    <n v="22"/>
    <x v="0"/>
    <s v="music/indie rock"/>
    <n v="101"/>
    <n v="91.59"/>
    <x v="4"/>
    <x v="14"/>
    <x v="2119"/>
    <d v="2012-08-16T03:07:25"/>
    <x v="1"/>
    <x v="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x v="2120"/>
    <x v="0"/>
    <n v="69"/>
    <x v="0"/>
    <s v="music/indie rock"/>
    <n v="101"/>
    <n v="116.96"/>
    <x v="4"/>
    <x v="14"/>
    <x v="2120"/>
    <d v="2014-01-01T23:08:56"/>
    <x v="461"/>
    <x v="4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x v="0"/>
    <n v="10"/>
    <x v="1"/>
    <s v="games/video games"/>
    <n v="1"/>
    <n v="28.4"/>
    <x v="6"/>
    <x v="17"/>
    <x v="2121"/>
    <d v="2017-01-11T17:49:08"/>
    <x v="1"/>
    <x v="2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x v="0"/>
    <n v="3"/>
    <x v="1"/>
    <s v="games/video games"/>
    <n v="0"/>
    <n v="103.33"/>
    <x v="6"/>
    <x v="17"/>
    <x v="2122"/>
    <d v="2017-01-07T07:12:49"/>
    <x v="1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x v="0"/>
    <n v="5"/>
    <x v="1"/>
    <s v="games/video games"/>
    <n v="10"/>
    <n v="10"/>
    <x v="6"/>
    <x v="17"/>
    <x v="2123"/>
    <d v="2010-03-15T06:59:00"/>
    <x v="637"/>
    <x v="7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x v="0"/>
    <n v="5"/>
    <x v="1"/>
    <s v="games/video games"/>
    <n v="10"/>
    <n v="23"/>
    <x v="6"/>
    <x v="17"/>
    <x v="2124"/>
    <d v="2010-11-30T05:00:00"/>
    <x v="638"/>
    <x v="7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x v="0"/>
    <n v="27"/>
    <x v="1"/>
    <s v="games/video games"/>
    <n v="1"/>
    <n v="31.56"/>
    <x v="6"/>
    <x v="17"/>
    <x v="2125"/>
    <d v="2015-08-05T00:33:53"/>
    <x v="1"/>
    <x v="0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x v="0"/>
    <n v="2"/>
    <x v="1"/>
    <s v="games/video games"/>
    <n v="0"/>
    <n v="5"/>
    <x v="6"/>
    <x v="17"/>
    <x v="2126"/>
    <d v="2014-12-08T23:21:27"/>
    <x v="1"/>
    <x v="3"/>
  </r>
  <r>
    <x v="2127"/>
    <s v="Three Monkeys - Part 1: Into the Abyss"/>
    <s v="Three Monkeys is an audio adventure game for PC."/>
    <x v="89"/>
    <x v="1484"/>
    <x v="2"/>
    <x v="1"/>
    <s v="GBP"/>
    <n v="1426158463"/>
    <x v="2127"/>
    <x v="0"/>
    <n v="236"/>
    <x v="1"/>
    <s v="games/video games"/>
    <n v="29"/>
    <n v="34.22"/>
    <x v="6"/>
    <x v="17"/>
    <x v="2127"/>
    <d v="2015-03-12T11:07:43"/>
    <x v="22"/>
    <x v="0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x v="0"/>
    <n v="1"/>
    <x v="1"/>
    <s v="games/video games"/>
    <n v="0"/>
    <n v="25"/>
    <x v="6"/>
    <x v="17"/>
    <x v="2128"/>
    <d v="2014-09-21T18:32:49"/>
    <x v="14"/>
    <x v="3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x v="0"/>
    <n v="12"/>
    <x v="1"/>
    <s v="games/video games"/>
    <n v="12"/>
    <n v="19.670000000000002"/>
    <x v="6"/>
    <x v="17"/>
    <x v="2129"/>
    <d v="2016-03-10T00:35:00"/>
    <x v="1"/>
    <x v="2"/>
  </r>
  <r>
    <x v="2130"/>
    <s v="Wondrous Adventures: A Kid's Game"/>
    <s v="You are the hero tasked to save your home from the villainous Sanword."/>
    <x v="247"/>
    <x v="1079"/>
    <x v="2"/>
    <x v="0"/>
    <s v="USD"/>
    <n v="1408154663"/>
    <x v="2130"/>
    <x v="0"/>
    <n v="4"/>
    <x v="1"/>
    <s v="games/video games"/>
    <n v="0"/>
    <n v="21.25"/>
    <x v="6"/>
    <x v="17"/>
    <x v="2130"/>
    <d v="2014-08-16T02:04:23"/>
    <x v="6"/>
    <x v="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x v="0"/>
    <n v="3"/>
    <x v="1"/>
    <s v="games/video games"/>
    <n v="5"/>
    <n v="8.33"/>
    <x v="6"/>
    <x v="17"/>
    <x v="2131"/>
    <d v="2015-07-12T04:58:11"/>
    <x v="1"/>
    <x v="0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x v="0"/>
    <n v="99"/>
    <x v="1"/>
    <s v="games/video games"/>
    <n v="2"/>
    <n v="21.34"/>
    <x v="6"/>
    <x v="17"/>
    <x v="2132"/>
    <d v="2014-02-03T11:41:32"/>
    <x v="1"/>
    <x v="3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x v="0"/>
    <n v="3"/>
    <x v="1"/>
    <s v="games/video games"/>
    <n v="2"/>
    <n v="5.33"/>
    <x v="6"/>
    <x v="17"/>
    <x v="2133"/>
    <d v="2011-04-24T06:59:00"/>
    <x v="639"/>
    <x v="6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x v="0"/>
    <n v="3"/>
    <x v="1"/>
    <s v="games/video games"/>
    <n v="2"/>
    <n v="34.67"/>
    <x v="6"/>
    <x v="17"/>
    <x v="2134"/>
    <d v="2013-04-27T21:16:31"/>
    <x v="1"/>
    <x v="4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x v="0"/>
    <n v="22"/>
    <x v="1"/>
    <s v="games/video games"/>
    <n v="10"/>
    <n v="21.73"/>
    <x v="6"/>
    <x v="17"/>
    <x v="2135"/>
    <d v="2012-10-04T23:07:13"/>
    <x v="1"/>
    <x v="5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x v="0"/>
    <n v="4"/>
    <x v="1"/>
    <s v="games/video games"/>
    <n v="0"/>
    <n v="11.92"/>
    <x v="6"/>
    <x v="17"/>
    <x v="2136"/>
    <d v="2013-10-19T12:13:06"/>
    <x v="1"/>
    <x v="4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x v="0"/>
    <n v="534"/>
    <x v="1"/>
    <s v="games/video games"/>
    <n v="28"/>
    <n v="26.6"/>
    <x v="6"/>
    <x v="17"/>
    <x v="2137"/>
    <d v="2014-12-05T18:30:29"/>
    <x v="1"/>
    <x v="3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x v="0"/>
    <n v="12"/>
    <x v="1"/>
    <s v="games/video games"/>
    <n v="13"/>
    <n v="10.67"/>
    <x v="6"/>
    <x v="17"/>
    <x v="2138"/>
    <d v="2013-11-09T01:18:59"/>
    <x v="13"/>
    <x v="4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x v="0"/>
    <n v="56"/>
    <x v="1"/>
    <s v="games/video games"/>
    <n v="5"/>
    <n v="29.04"/>
    <x v="6"/>
    <x v="17"/>
    <x v="2139"/>
    <d v="2016-11-03T18:00:08"/>
    <x v="1"/>
    <x v="2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x v="0"/>
    <n v="11"/>
    <x v="1"/>
    <s v="games/video games"/>
    <n v="0"/>
    <n v="50.91"/>
    <x v="6"/>
    <x v="17"/>
    <x v="2140"/>
    <d v="2013-01-11T20:00:24"/>
    <x v="1"/>
    <x v="5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x v="0"/>
    <n v="0"/>
    <x v="1"/>
    <s v="games/video games"/>
    <n v="0"/>
    <n v="0"/>
    <x v="6"/>
    <x v="17"/>
    <x v="2141"/>
    <d v="2014-11-14T06:39:19"/>
    <x v="13"/>
    <x v="3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x v="0"/>
    <n v="12"/>
    <x v="1"/>
    <s v="games/video games"/>
    <n v="6"/>
    <n v="50.08"/>
    <x v="6"/>
    <x v="17"/>
    <x v="2142"/>
    <d v="2015-12-30T16:50:10"/>
    <x v="24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x v="0"/>
    <n v="5"/>
    <x v="1"/>
    <s v="games/video games"/>
    <n v="11"/>
    <n v="45"/>
    <x v="6"/>
    <x v="17"/>
    <x v="2143"/>
    <d v="2010-07-21T19:00:00"/>
    <x v="640"/>
    <x v="7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x v="2144"/>
    <x v="0"/>
    <n v="24"/>
    <x v="1"/>
    <s v="games/video games"/>
    <n v="2"/>
    <n v="25.29"/>
    <x v="6"/>
    <x v="17"/>
    <x v="2144"/>
    <d v="2013-09-14T13:07:20"/>
    <x v="114"/>
    <x v="4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x v="0"/>
    <n v="89"/>
    <x v="1"/>
    <s v="games/video games"/>
    <n v="30"/>
    <n v="51.29"/>
    <x v="6"/>
    <x v="17"/>
    <x v="2145"/>
    <d v="2013-11-27T06:41:54"/>
    <x v="13"/>
    <x v="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x v="0"/>
    <n v="1"/>
    <x v="1"/>
    <s v="games/video games"/>
    <n v="0"/>
    <n v="1"/>
    <x v="6"/>
    <x v="17"/>
    <x v="2146"/>
    <d v="2016-02-11T16:18:30"/>
    <x v="59"/>
    <x v="2"/>
  </r>
  <r>
    <x v="2147"/>
    <s v="Johnny Rocketfingers 3"/>
    <s v="A Point and Click Adventure on Steroids."/>
    <x v="303"/>
    <x v="1495"/>
    <x v="2"/>
    <x v="0"/>
    <s v="USD"/>
    <n v="1416125148"/>
    <x v="2147"/>
    <x v="0"/>
    <n v="55"/>
    <x v="1"/>
    <s v="games/video games"/>
    <n v="1"/>
    <n v="49.38"/>
    <x v="6"/>
    <x v="17"/>
    <x v="2147"/>
    <d v="2014-11-16T08:05:48"/>
    <x v="355"/>
    <x v="3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x v="0"/>
    <n v="2"/>
    <x v="1"/>
    <s v="games/video games"/>
    <n v="2"/>
    <n v="1"/>
    <x v="6"/>
    <x v="17"/>
    <x v="2148"/>
    <d v="2015-04-02T16:36:22"/>
    <x v="22"/>
    <x v="0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x v="0"/>
    <n v="0"/>
    <x v="1"/>
    <s v="games/video games"/>
    <n v="0"/>
    <n v="0"/>
    <x v="6"/>
    <x v="17"/>
    <x v="2149"/>
    <d v="2010-07-31T00:00:00"/>
    <x v="641"/>
    <x v="7"/>
  </r>
  <r>
    <x v="2150"/>
    <s v="The Unknown Door"/>
    <s v="A pixel styled open world detective game."/>
    <x v="63"/>
    <x v="1496"/>
    <x v="2"/>
    <x v="10"/>
    <s v="NOK"/>
    <n v="1468392599"/>
    <x v="2150"/>
    <x v="0"/>
    <n v="4"/>
    <x v="1"/>
    <s v="games/video games"/>
    <n v="1"/>
    <n v="101.25"/>
    <x v="6"/>
    <x v="17"/>
    <x v="2150"/>
    <d v="2016-07-13T06:49:59"/>
    <x v="1"/>
    <x v="2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x v="0"/>
    <n v="6"/>
    <x v="1"/>
    <s v="games/video games"/>
    <n v="0"/>
    <n v="19.670000000000002"/>
    <x v="6"/>
    <x v="17"/>
    <x v="2151"/>
    <d v="2016-06-29T20:20:14"/>
    <x v="1"/>
    <x v="2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x v="0"/>
    <n v="4"/>
    <x v="1"/>
    <s v="games/video games"/>
    <n v="0"/>
    <n v="12.5"/>
    <x v="6"/>
    <x v="17"/>
    <x v="2152"/>
    <d v="2014-03-15T18:58:29"/>
    <x v="22"/>
    <x v="3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x v="0"/>
    <n v="4"/>
    <x v="1"/>
    <s v="games/video games"/>
    <n v="0"/>
    <n v="8.5"/>
    <x v="6"/>
    <x v="17"/>
    <x v="2153"/>
    <d v="2015-01-10T07:59:00"/>
    <x v="642"/>
    <x v="3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x v="0"/>
    <n v="2"/>
    <x v="1"/>
    <s v="games/video games"/>
    <n v="1"/>
    <n v="1"/>
    <x v="6"/>
    <x v="17"/>
    <x v="2154"/>
    <d v="2014-01-28T15:10:27"/>
    <x v="51"/>
    <x v="3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x v="0"/>
    <n v="5"/>
    <x v="1"/>
    <s v="games/video games"/>
    <n v="2"/>
    <n v="23"/>
    <x v="6"/>
    <x v="17"/>
    <x v="2155"/>
    <d v="2016-03-31T16:56:25"/>
    <x v="22"/>
    <x v="2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x v="0"/>
    <n v="83"/>
    <x v="1"/>
    <s v="games/video games"/>
    <n v="3"/>
    <n v="17.989999999999998"/>
    <x v="6"/>
    <x v="17"/>
    <x v="2156"/>
    <d v="2013-09-16T20:30:06"/>
    <x v="26"/>
    <x v="4"/>
  </r>
  <r>
    <x v="2157"/>
    <s v="Nin"/>
    <s v="Gamers and 90's fans unite in this small tale of epic proportions!"/>
    <x v="96"/>
    <x v="1499"/>
    <x v="2"/>
    <x v="0"/>
    <s v="USD"/>
    <n v="1482479940"/>
    <x v="2157"/>
    <x v="0"/>
    <n v="57"/>
    <x v="1"/>
    <s v="games/video games"/>
    <n v="28"/>
    <n v="370.95"/>
    <x v="6"/>
    <x v="17"/>
    <x v="2157"/>
    <d v="2016-12-23T07:59:00"/>
    <x v="643"/>
    <x v="2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x v="0"/>
    <n v="311"/>
    <x v="1"/>
    <s v="games/video games"/>
    <n v="7"/>
    <n v="63.57"/>
    <x v="6"/>
    <x v="17"/>
    <x v="2158"/>
    <d v="2013-02-04T20:29:34"/>
    <x v="26"/>
    <x v="5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x v="0"/>
    <n v="2"/>
    <x v="1"/>
    <s v="games/video games"/>
    <n v="1"/>
    <n v="13"/>
    <x v="6"/>
    <x v="17"/>
    <x v="2159"/>
    <d v="2011-07-16T17:32:54"/>
    <x v="1"/>
    <x v="6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x v="0"/>
    <n v="16"/>
    <x v="1"/>
    <s v="games/video games"/>
    <n v="1"/>
    <n v="5.31"/>
    <x v="6"/>
    <x v="17"/>
    <x v="2160"/>
    <d v="2012-05-19T17:05:05"/>
    <x v="1"/>
    <x v="5"/>
  </r>
  <r>
    <x v="2161"/>
    <s v="CallMeGhost DEBUT ALBUM preorder!"/>
    <s v="We're trying to fund hard copies of our debut album!"/>
    <x v="44"/>
    <x v="1501"/>
    <x v="0"/>
    <x v="0"/>
    <s v="USD"/>
    <n v="1443040059"/>
    <x v="2161"/>
    <x v="0"/>
    <n v="13"/>
    <x v="0"/>
    <s v="music/rock"/>
    <n v="116"/>
    <n v="35.619999999999997"/>
    <x v="4"/>
    <x v="11"/>
    <x v="2161"/>
    <d v="2015-09-23T20:27:39"/>
    <x v="1"/>
    <x v="0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x v="0"/>
    <n v="58"/>
    <x v="0"/>
    <s v="music/rock"/>
    <n v="112"/>
    <n v="87.1"/>
    <x v="4"/>
    <x v="11"/>
    <x v="2162"/>
    <d v="2014-07-24T18:23:11"/>
    <x v="102"/>
    <x v="3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x v="0"/>
    <n v="44"/>
    <x v="0"/>
    <s v="music/rock"/>
    <n v="132"/>
    <n v="75.11"/>
    <x v="4"/>
    <x v="11"/>
    <x v="2163"/>
    <d v="2015-06-08T03:50:00"/>
    <x v="644"/>
    <x v="0"/>
  </r>
  <r>
    <x v="2164"/>
    <s v="Rosaline debut record"/>
    <s v="South Florida roots country/rock outfit's long awaited debut record"/>
    <x v="62"/>
    <x v="1504"/>
    <x v="0"/>
    <x v="0"/>
    <s v="USD"/>
    <n v="1466827140"/>
    <x v="2164"/>
    <x v="0"/>
    <n v="83"/>
    <x v="0"/>
    <s v="music/rock"/>
    <n v="103"/>
    <n v="68.010000000000005"/>
    <x v="4"/>
    <x v="11"/>
    <x v="2164"/>
    <d v="2016-06-25T03:59:00"/>
    <x v="380"/>
    <x v="2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x v="0"/>
    <n v="117"/>
    <x v="0"/>
    <s v="music/rock"/>
    <n v="139"/>
    <n v="29.62"/>
    <x v="4"/>
    <x v="11"/>
    <x v="2165"/>
    <d v="2016-04-08T15:00:35"/>
    <x v="22"/>
    <x v="2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x v="0"/>
    <n v="32"/>
    <x v="0"/>
    <s v="music/rock"/>
    <n v="147"/>
    <n v="91.63"/>
    <x v="4"/>
    <x v="11"/>
    <x v="2166"/>
    <d v="2014-12-05T21:06:58"/>
    <x v="71"/>
    <x v="3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x v="0"/>
    <n v="8"/>
    <x v="0"/>
    <s v="music/rock"/>
    <n v="120"/>
    <n v="22.5"/>
    <x v="4"/>
    <x v="11"/>
    <x v="2167"/>
    <d v="2012-09-15T01:35:37"/>
    <x v="59"/>
    <x v="5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x v="0"/>
    <n v="340"/>
    <x v="0"/>
    <s v="music/rock"/>
    <n v="122"/>
    <n v="64.37"/>
    <x v="4"/>
    <x v="11"/>
    <x v="2168"/>
    <d v="2017-02-10T05:00:00"/>
    <x v="645"/>
    <x v="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x v="0"/>
    <n v="7"/>
    <x v="0"/>
    <s v="music/rock"/>
    <n v="100"/>
    <n v="21.86"/>
    <x v="4"/>
    <x v="11"/>
    <x v="2169"/>
    <d v="2017-03-02T16:49:11"/>
    <x v="646"/>
    <x v="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x v="0"/>
    <n v="19"/>
    <x v="0"/>
    <s v="music/rock"/>
    <n v="181"/>
    <n v="33.32"/>
    <x v="4"/>
    <x v="11"/>
    <x v="2170"/>
    <d v="2015-08-22T18:00:22"/>
    <x v="4"/>
    <x v="0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x v="0"/>
    <n v="47"/>
    <x v="0"/>
    <s v="music/rock"/>
    <n v="106"/>
    <n v="90.28"/>
    <x v="4"/>
    <x v="11"/>
    <x v="2171"/>
    <d v="2015-06-22T05:00:00"/>
    <x v="647"/>
    <x v="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x v="0"/>
    <n v="13"/>
    <x v="0"/>
    <s v="music/rock"/>
    <n v="100"/>
    <n v="76.92"/>
    <x v="4"/>
    <x v="11"/>
    <x v="2172"/>
    <d v="2015-04-18T13:55:20"/>
    <x v="1"/>
    <x v="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x v="0"/>
    <n v="90"/>
    <x v="0"/>
    <s v="music/rock"/>
    <n v="127"/>
    <n v="59.23"/>
    <x v="4"/>
    <x v="11"/>
    <x v="2173"/>
    <d v="2013-09-10T03:59:00"/>
    <x v="472"/>
    <x v="4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x v="0"/>
    <n v="63"/>
    <x v="0"/>
    <s v="music/rock"/>
    <n v="103"/>
    <n v="65.38"/>
    <x v="4"/>
    <x v="11"/>
    <x v="2174"/>
    <d v="2016-05-05T13:01:47"/>
    <x v="1"/>
    <x v="2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x v="0"/>
    <n v="26"/>
    <x v="0"/>
    <s v="music/rock"/>
    <n v="250"/>
    <n v="67.31"/>
    <x v="4"/>
    <x v="11"/>
    <x v="2175"/>
    <d v="2016-07-21T00:13:06"/>
    <x v="354"/>
    <x v="2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x v="0"/>
    <n v="71"/>
    <x v="0"/>
    <s v="music/rock"/>
    <n v="126"/>
    <n v="88.75"/>
    <x v="4"/>
    <x v="11"/>
    <x v="2176"/>
    <d v="2015-05-02T15:11:49"/>
    <x v="1"/>
    <x v="0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x v="0"/>
    <n v="38"/>
    <x v="0"/>
    <s v="music/rock"/>
    <n v="100"/>
    <n v="65.87"/>
    <x v="4"/>
    <x v="11"/>
    <x v="2177"/>
    <d v="2016-06-06T06:01:07"/>
    <x v="36"/>
    <x v="2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x v="0"/>
    <n v="859"/>
    <x v="0"/>
    <s v="music/rock"/>
    <n v="139"/>
    <n v="40.35"/>
    <x v="4"/>
    <x v="11"/>
    <x v="2178"/>
    <d v="2017-01-18T15:16:37"/>
    <x v="1"/>
    <x v="2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x v="2179"/>
    <x v="0"/>
    <n v="21"/>
    <x v="0"/>
    <s v="music/rock"/>
    <n v="161"/>
    <n v="76.86"/>
    <x v="4"/>
    <x v="11"/>
    <x v="2179"/>
    <d v="2015-04-11T04:06:32"/>
    <x v="1"/>
    <x v="0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x v="0"/>
    <n v="78"/>
    <x v="0"/>
    <s v="music/rock"/>
    <n v="107"/>
    <n v="68.709999999999994"/>
    <x v="4"/>
    <x v="11"/>
    <x v="2180"/>
    <d v="2015-11-13T17:04:28"/>
    <x v="84"/>
    <x v="0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x v="0"/>
    <n v="53"/>
    <x v="0"/>
    <s v="games/tabletop games"/>
    <n v="153"/>
    <n v="57.77"/>
    <x v="6"/>
    <x v="32"/>
    <x v="2181"/>
    <d v="2017-02-21T00:07:33"/>
    <x v="59"/>
    <x v="1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x v="0"/>
    <n v="356"/>
    <x v="0"/>
    <s v="games/tabletop games"/>
    <n v="524"/>
    <n v="44.17"/>
    <x v="6"/>
    <x v="32"/>
    <x v="2182"/>
    <d v="2014-10-02T21:37:05"/>
    <x v="6"/>
    <x v="3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x v="0"/>
    <n v="279"/>
    <x v="0"/>
    <s v="games/tabletop games"/>
    <n v="489"/>
    <n v="31.57"/>
    <x v="6"/>
    <x v="32"/>
    <x v="2183"/>
    <d v="2017-02-09T05:00:00"/>
    <x v="648"/>
    <x v="1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x v="1"/>
    <n v="266"/>
    <x v="0"/>
    <s v="games/tabletop games"/>
    <n v="285"/>
    <n v="107.05"/>
    <x v="6"/>
    <x v="32"/>
    <x v="2184"/>
    <d v="2016-01-25T16:00:00"/>
    <x v="649"/>
    <x v="2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x v="0"/>
    <n v="623"/>
    <x v="0"/>
    <s v="games/tabletop games"/>
    <n v="1857"/>
    <n v="149.03"/>
    <x v="6"/>
    <x v="32"/>
    <x v="2185"/>
    <d v="2013-03-26T08:23:59"/>
    <x v="4"/>
    <x v="4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x v="0"/>
    <n v="392"/>
    <x v="0"/>
    <s v="games/tabletop games"/>
    <n v="110"/>
    <n v="55.96"/>
    <x v="6"/>
    <x v="32"/>
    <x v="2186"/>
    <d v="2016-09-07T02:00:00"/>
    <x v="650"/>
    <x v="2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x v="1"/>
    <n v="3562"/>
    <x v="0"/>
    <s v="games/tabletop games"/>
    <n v="1015"/>
    <n v="56.97"/>
    <x v="6"/>
    <x v="32"/>
    <x v="2187"/>
    <d v="2015-04-03T03:59:00"/>
    <x v="562"/>
    <x v="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x v="0"/>
    <n v="514"/>
    <x v="0"/>
    <s v="games/tabletop games"/>
    <n v="412"/>
    <n v="44.06"/>
    <x v="6"/>
    <x v="32"/>
    <x v="2188"/>
    <d v="2016-10-25T17:00:00"/>
    <x v="651"/>
    <x v="2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x v="0"/>
    <n v="88"/>
    <x v="0"/>
    <s v="games/tabletop games"/>
    <n v="503"/>
    <n v="68.63"/>
    <x v="6"/>
    <x v="32"/>
    <x v="2189"/>
    <d v="2016-04-21T22:00:00"/>
    <x v="652"/>
    <x v="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x v="0"/>
    <n v="537"/>
    <x v="0"/>
    <s v="games/tabletop games"/>
    <n v="185"/>
    <n v="65.319999999999993"/>
    <x v="6"/>
    <x v="32"/>
    <x v="2190"/>
    <d v="2016-03-23T06:59:00"/>
    <x v="653"/>
    <x v="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x v="0"/>
    <n v="25"/>
    <x v="0"/>
    <s v="games/tabletop games"/>
    <n v="120"/>
    <n v="35.92"/>
    <x v="6"/>
    <x v="32"/>
    <x v="2191"/>
    <d v="2017-02-14T20:00:27"/>
    <x v="542"/>
    <x v="1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x v="0"/>
    <n v="3238"/>
    <x v="0"/>
    <s v="games/tabletop games"/>
    <n v="1081"/>
    <n v="40.07"/>
    <x v="6"/>
    <x v="32"/>
    <x v="2192"/>
    <d v="2016-12-15T23:00:00"/>
    <x v="654"/>
    <x v="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x v="0"/>
    <n v="897"/>
    <x v="0"/>
    <s v="games/tabletop games"/>
    <n v="452"/>
    <n v="75.650000000000006"/>
    <x v="6"/>
    <x v="32"/>
    <x v="2193"/>
    <d v="2016-11-21T04:59:00"/>
    <x v="655"/>
    <x v="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x v="0"/>
    <n v="878"/>
    <x v="0"/>
    <s v="games/tabletop games"/>
    <n v="537"/>
    <n v="61.2"/>
    <x v="6"/>
    <x v="32"/>
    <x v="2194"/>
    <d v="2016-03-26T17:11:30"/>
    <x v="22"/>
    <x v="2"/>
  </r>
  <r>
    <x v="2195"/>
    <s v="Purgatoria: City of Angels"/>
    <s v="A gritty, noir tabletop RPG with a fast-paced combo-based battle system."/>
    <x v="210"/>
    <x v="968"/>
    <x v="0"/>
    <x v="0"/>
    <s v="USD"/>
    <n v="1439317900"/>
    <x v="2195"/>
    <x v="0"/>
    <n v="115"/>
    <x v="0"/>
    <s v="games/tabletop games"/>
    <n v="120"/>
    <n v="48.13"/>
    <x v="6"/>
    <x v="32"/>
    <x v="2195"/>
    <d v="2015-08-11T18:31:40"/>
    <x v="1"/>
    <x v="0"/>
  </r>
  <r>
    <x v="2196"/>
    <s v="LACORSA Grand Prix Game (relaunch)"/>
    <s v="Race your friends in style with this classic Grand Prix game."/>
    <x v="32"/>
    <x v="1532"/>
    <x v="0"/>
    <x v="0"/>
    <s v="USD"/>
    <n v="1480662000"/>
    <x v="2196"/>
    <x v="0"/>
    <n v="234"/>
    <x v="0"/>
    <s v="games/tabletop games"/>
    <n v="114"/>
    <n v="68.11"/>
    <x v="6"/>
    <x v="32"/>
    <x v="2196"/>
    <d v="2016-12-02T07:00:00"/>
    <x v="655"/>
    <x v="2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x v="0"/>
    <n v="4330"/>
    <x v="0"/>
    <s v="games/tabletop games"/>
    <n v="951"/>
    <n v="65.89"/>
    <x v="6"/>
    <x v="32"/>
    <x v="2197"/>
    <d v="2015-02-28T14:00:59"/>
    <x v="1"/>
    <x v="0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x v="0"/>
    <n v="651"/>
    <x v="0"/>
    <s v="games/tabletop games"/>
    <n v="133"/>
    <n v="81.650000000000006"/>
    <x v="6"/>
    <x v="32"/>
    <x v="2198"/>
    <d v="2015-11-14T13:20:00"/>
    <x v="13"/>
    <x v="0"/>
  </r>
  <r>
    <x v="2199"/>
    <s v="Decadolo. Flip it!"/>
    <s v="A new strategic board game designed to flip out your opponent."/>
    <x v="7"/>
    <x v="1535"/>
    <x v="0"/>
    <x v="17"/>
    <s v="EUR"/>
    <n v="1444903198"/>
    <x v="2199"/>
    <x v="1"/>
    <n v="251"/>
    <x v="0"/>
    <s v="games/tabletop games"/>
    <n v="147"/>
    <n v="52.7"/>
    <x v="6"/>
    <x v="32"/>
    <x v="2199"/>
    <d v="2015-10-15T09:59:58"/>
    <x v="1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x v="0"/>
    <n v="263"/>
    <x v="0"/>
    <s v="games/tabletop games"/>
    <n v="542"/>
    <n v="41.23"/>
    <x v="6"/>
    <x v="32"/>
    <x v="2200"/>
    <d v="2015-07-06T03:00:00"/>
    <x v="656"/>
    <x v="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x v="0"/>
    <n v="28"/>
    <x v="0"/>
    <s v="music/electronic music"/>
    <n v="383"/>
    <n v="15.04"/>
    <x v="4"/>
    <x v="15"/>
    <x v="2201"/>
    <d v="2013-01-16T20:19:25"/>
    <x v="59"/>
    <x v="4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x v="0"/>
    <n v="721"/>
    <x v="0"/>
    <s v="music/electronic music"/>
    <n v="704"/>
    <n v="39.07"/>
    <x v="4"/>
    <x v="15"/>
    <x v="2202"/>
    <d v="2012-11-01T20:22:48"/>
    <x v="1"/>
    <x v="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x v="0"/>
    <n v="50"/>
    <x v="0"/>
    <s v="music/electronic music"/>
    <n v="110"/>
    <n v="43.82"/>
    <x v="4"/>
    <x v="15"/>
    <x v="2203"/>
    <d v="2015-09-24T20:38:02"/>
    <x v="1"/>
    <x v="0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x v="0"/>
    <n v="73"/>
    <x v="0"/>
    <s v="music/electronic music"/>
    <n v="133"/>
    <n v="27.3"/>
    <x v="4"/>
    <x v="15"/>
    <x v="2204"/>
    <d v="2013-03-09T07:28:39"/>
    <x v="1"/>
    <x v="4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x v="0"/>
    <n v="27"/>
    <x v="0"/>
    <s v="music/electronic music"/>
    <n v="152"/>
    <n v="42.22"/>
    <x v="4"/>
    <x v="15"/>
    <x v="2205"/>
    <d v="2012-06-01T19:43:09"/>
    <x v="1"/>
    <x v="5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x v="0"/>
    <n v="34"/>
    <x v="0"/>
    <s v="music/electronic music"/>
    <n v="103"/>
    <n v="33.24"/>
    <x v="4"/>
    <x v="15"/>
    <x v="2206"/>
    <d v="2012-04-16T06:10:24"/>
    <x v="18"/>
    <x v="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x v="0"/>
    <n v="7"/>
    <x v="0"/>
    <s v="music/electronic music"/>
    <n v="100"/>
    <n v="285.70999999999998"/>
    <x v="4"/>
    <x v="15"/>
    <x v="2207"/>
    <d v="2013-11-16T05:39:33"/>
    <x v="13"/>
    <x v="4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x v="0"/>
    <n v="24"/>
    <x v="0"/>
    <s v="music/electronic music"/>
    <n v="102"/>
    <n v="42.33"/>
    <x v="4"/>
    <x v="15"/>
    <x v="2208"/>
    <d v="2012-04-07T04:00:00"/>
    <x v="657"/>
    <x v="5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x v="0"/>
    <n v="15"/>
    <x v="0"/>
    <s v="music/electronic music"/>
    <n v="151"/>
    <n v="50.27"/>
    <x v="4"/>
    <x v="15"/>
    <x v="2209"/>
    <d v="2014-04-14T23:00:00"/>
    <x v="658"/>
    <x v="3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x v="0"/>
    <n v="72"/>
    <x v="0"/>
    <s v="music/electronic music"/>
    <n v="111"/>
    <n v="61.9"/>
    <x v="4"/>
    <x v="15"/>
    <x v="2210"/>
    <d v="2012-04-14T17:36:00"/>
    <x v="659"/>
    <x v="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x v="0"/>
    <n v="120"/>
    <x v="0"/>
    <s v="music/electronic music"/>
    <n v="196"/>
    <n v="40.75"/>
    <x v="4"/>
    <x v="15"/>
    <x v="2211"/>
    <d v="2014-04-10T06:59:00"/>
    <x v="660"/>
    <x v="3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x v="0"/>
    <n v="123"/>
    <x v="0"/>
    <s v="music/electronic music"/>
    <n v="114"/>
    <n v="55.8"/>
    <x v="4"/>
    <x v="15"/>
    <x v="2212"/>
    <d v="2013-11-04T01:00:00"/>
    <x v="661"/>
    <x v="4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x v="0"/>
    <n v="1"/>
    <x v="0"/>
    <s v="music/electronic music"/>
    <n v="200"/>
    <n v="10"/>
    <x v="4"/>
    <x v="15"/>
    <x v="2213"/>
    <d v="2015-05-15T19:49:39"/>
    <x v="1"/>
    <x v="0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x v="0"/>
    <n v="24"/>
    <x v="0"/>
    <s v="music/electronic music"/>
    <n v="293"/>
    <n v="73.13"/>
    <x v="4"/>
    <x v="15"/>
    <x v="2214"/>
    <d v="2014-02-06T19:00:48"/>
    <x v="1"/>
    <x v="3"/>
  </r>
  <r>
    <x v="2215"/>
    <s v="&quot;Something to See, Not to Say&quot; - Anemometer's First EP Album"/>
    <s v="Ambient Electro Grind-fest!"/>
    <x v="131"/>
    <x v="1548"/>
    <x v="0"/>
    <x v="0"/>
    <s v="USD"/>
    <n v="1331621940"/>
    <x v="2215"/>
    <x v="0"/>
    <n v="33"/>
    <x v="0"/>
    <s v="music/electronic music"/>
    <n v="156"/>
    <n v="26.06"/>
    <x v="4"/>
    <x v="15"/>
    <x v="2215"/>
    <d v="2012-03-13T06:59:00"/>
    <x v="662"/>
    <x v="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x v="0"/>
    <n v="14"/>
    <x v="0"/>
    <s v="music/electronic music"/>
    <n v="106"/>
    <n v="22.64"/>
    <x v="4"/>
    <x v="15"/>
    <x v="2216"/>
    <d v="2015-07-23T18:02:25"/>
    <x v="59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x v="0"/>
    <n v="9"/>
    <x v="0"/>
    <s v="music/electronic music"/>
    <n v="101"/>
    <n v="47.22"/>
    <x v="4"/>
    <x v="15"/>
    <x v="2217"/>
    <d v="2015-11-02T08:00:00"/>
    <x v="663"/>
    <x v="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x v="0"/>
    <n v="76"/>
    <x v="0"/>
    <s v="music/electronic music"/>
    <n v="123"/>
    <n v="32.32"/>
    <x v="4"/>
    <x v="15"/>
    <x v="2218"/>
    <d v="2012-08-29T00:00:00"/>
    <x v="664"/>
    <x v="5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x v="0"/>
    <n v="19"/>
    <x v="0"/>
    <s v="music/electronic music"/>
    <n v="102"/>
    <n v="53.42"/>
    <x v="4"/>
    <x v="15"/>
    <x v="2219"/>
    <d v="2015-08-19T17:15:12"/>
    <x v="1"/>
    <x v="0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x v="0"/>
    <n v="69"/>
    <x v="0"/>
    <s v="music/electronic music"/>
    <n v="101"/>
    <n v="51.3"/>
    <x v="4"/>
    <x v="15"/>
    <x v="2220"/>
    <d v="2013-07-27T01:27:16"/>
    <x v="1"/>
    <x v="4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x v="0"/>
    <n v="218"/>
    <x v="0"/>
    <s v="games/tabletop games"/>
    <n v="108"/>
    <n v="37.200000000000003"/>
    <x v="6"/>
    <x v="32"/>
    <x v="2221"/>
    <d v="2016-04-23T00:00:00"/>
    <x v="665"/>
    <x v="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x v="0"/>
    <n v="30"/>
    <x v="0"/>
    <s v="games/tabletop games"/>
    <n v="163"/>
    <n v="27.1"/>
    <x v="6"/>
    <x v="32"/>
    <x v="2222"/>
    <d v="2012-01-28T18:54:07"/>
    <x v="1"/>
    <x v="6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x v="0"/>
    <n v="100"/>
    <x v="0"/>
    <s v="games/tabletop games"/>
    <n v="106"/>
    <n v="206.31"/>
    <x v="6"/>
    <x v="32"/>
    <x v="2223"/>
    <d v="2015-06-27T15:22:48"/>
    <x v="1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x v="0"/>
    <n v="296"/>
    <x v="0"/>
    <s v="games/tabletop games"/>
    <n v="243"/>
    <n v="82.15"/>
    <x v="6"/>
    <x v="32"/>
    <x v="2224"/>
    <d v="2016-10-29T19:00:00"/>
    <x v="666"/>
    <x v="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x v="0"/>
    <n v="1204"/>
    <x v="0"/>
    <s v="games/tabletop games"/>
    <n v="945"/>
    <n v="164.8"/>
    <x v="6"/>
    <x v="32"/>
    <x v="2225"/>
    <d v="2014-09-21T19:00:15"/>
    <x v="1"/>
    <x v="3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x v="0"/>
    <n v="321"/>
    <x v="0"/>
    <s v="games/tabletop games"/>
    <n v="108"/>
    <n v="60.82"/>
    <x v="6"/>
    <x v="32"/>
    <x v="2226"/>
    <d v="2016-02-12T04:59:00"/>
    <x v="174"/>
    <x v="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x v="0"/>
    <n v="301"/>
    <x v="0"/>
    <s v="games/tabletop games"/>
    <n v="157"/>
    <n v="67.97"/>
    <x v="6"/>
    <x v="32"/>
    <x v="2227"/>
    <d v="2013-11-13T20:22:35"/>
    <x v="13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x v="0"/>
    <n v="144"/>
    <x v="0"/>
    <s v="games/tabletop games"/>
    <n v="1174"/>
    <n v="81.56"/>
    <x v="6"/>
    <x v="32"/>
    <x v="2228"/>
    <d v="2015-08-16T06:40:36"/>
    <x v="1"/>
    <x v="0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x v="0"/>
    <n v="539"/>
    <x v="0"/>
    <s v="games/tabletop games"/>
    <n v="171"/>
    <n v="25.43"/>
    <x v="6"/>
    <x v="32"/>
    <x v="2229"/>
    <d v="2013-09-03T04:00:00"/>
    <x v="306"/>
    <x v="4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x v="0"/>
    <n v="498"/>
    <x v="0"/>
    <s v="games/tabletop games"/>
    <n v="126"/>
    <n v="21.5"/>
    <x v="6"/>
    <x v="32"/>
    <x v="2230"/>
    <d v="2014-04-25T21:08:47"/>
    <x v="1"/>
    <x v="3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x v="0"/>
    <n v="1113"/>
    <x v="0"/>
    <s v="games/tabletop games"/>
    <n v="1212"/>
    <n v="27.23"/>
    <x v="6"/>
    <x v="32"/>
    <x v="2231"/>
    <d v="2013-06-25T05:00:00"/>
    <x v="667"/>
    <x v="4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x v="0"/>
    <n v="988"/>
    <x v="0"/>
    <s v="games/tabletop games"/>
    <n v="496"/>
    <n v="25.09"/>
    <x v="6"/>
    <x v="32"/>
    <x v="2232"/>
    <d v="2014-07-19T03:00:00"/>
    <x v="668"/>
    <x v="3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x v="0"/>
    <n v="391"/>
    <x v="0"/>
    <s v="games/tabletop games"/>
    <n v="332"/>
    <n v="21.23"/>
    <x v="6"/>
    <x v="32"/>
    <x v="2233"/>
    <d v="2015-12-14T00:00:00"/>
    <x v="669"/>
    <x v="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x v="0"/>
    <n v="28"/>
    <x v="0"/>
    <s v="games/tabletop games"/>
    <n v="1165"/>
    <n v="41.61"/>
    <x v="6"/>
    <x v="32"/>
    <x v="2234"/>
    <d v="2017-01-05T19:47:27"/>
    <x v="1"/>
    <x v="2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x v="0"/>
    <n v="147"/>
    <x v="0"/>
    <s v="games/tabletop games"/>
    <n v="153"/>
    <n v="135.59"/>
    <x v="6"/>
    <x v="32"/>
    <x v="2235"/>
    <d v="2015-03-28T23:31:51"/>
    <x v="22"/>
    <x v="0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x v="0"/>
    <n v="680"/>
    <x v="0"/>
    <s v="games/tabletop games"/>
    <n v="537"/>
    <n v="22.12"/>
    <x v="6"/>
    <x v="32"/>
    <x v="2236"/>
    <d v="2016-02-01T14:48:43"/>
    <x v="1"/>
    <x v="2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x v="0"/>
    <n v="983"/>
    <x v="0"/>
    <s v="games/tabletop games"/>
    <n v="353"/>
    <n v="64.63"/>
    <x v="6"/>
    <x v="32"/>
    <x v="2237"/>
    <d v="2014-11-12T07:59:00"/>
    <x v="670"/>
    <x v="3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x v="0"/>
    <n v="79"/>
    <x v="0"/>
    <s v="games/tabletop games"/>
    <n v="137"/>
    <n v="69.569999999999993"/>
    <x v="6"/>
    <x v="32"/>
    <x v="2238"/>
    <d v="2017-03-10T14:55:16"/>
    <x v="1"/>
    <x v="1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x v="0"/>
    <n v="426"/>
    <x v="0"/>
    <s v="games/tabletop games"/>
    <n v="128"/>
    <n v="75.13"/>
    <x v="6"/>
    <x v="32"/>
    <x v="2239"/>
    <d v="2013-12-01T04:02:00"/>
    <x v="671"/>
    <x v="4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x v="0"/>
    <n v="96"/>
    <x v="0"/>
    <s v="games/tabletop games"/>
    <n v="271"/>
    <n v="140.97999999999999"/>
    <x v="6"/>
    <x v="32"/>
    <x v="2240"/>
    <d v="2016-04-22T19:49:04"/>
    <x v="1"/>
    <x v="2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x v="0"/>
    <n v="163"/>
    <x v="0"/>
    <s v="games/tabletop games"/>
    <n v="806"/>
    <n v="49.47"/>
    <x v="6"/>
    <x v="32"/>
    <x v="2241"/>
    <d v="2017-03-02T19:51:40"/>
    <x v="1"/>
    <x v="1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x v="0"/>
    <n v="2525"/>
    <x v="0"/>
    <s v="games/tabletop games"/>
    <n v="1360"/>
    <n v="53.87"/>
    <x v="6"/>
    <x v="32"/>
    <x v="2242"/>
    <d v="2013-11-27T03:02:00"/>
    <x v="672"/>
    <x v="4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x v="0"/>
    <n v="2035"/>
    <x v="0"/>
    <s v="games/tabletop games"/>
    <n v="930250"/>
    <n v="4.57"/>
    <x v="6"/>
    <x v="32"/>
    <x v="2243"/>
    <d v="2017-03-13T03:00:00"/>
    <x v="673"/>
    <x v="1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x v="0"/>
    <n v="290"/>
    <x v="0"/>
    <s v="games/tabletop games"/>
    <n v="377"/>
    <n v="65"/>
    <x v="6"/>
    <x v="32"/>
    <x v="2244"/>
    <d v="2016-10-16T20:30:00"/>
    <x v="674"/>
    <x v="2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x v="0"/>
    <n v="1980"/>
    <x v="0"/>
    <s v="games/tabletop games"/>
    <n v="2647"/>
    <n v="53.48"/>
    <x v="6"/>
    <x v="32"/>
    <x v="2245"/>
    <d v="2014-02-21T18:00:00"/>
    <x v="160"/>
    <x v="3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x v="0"/>
    <n v="57"/>
    <x v="0"/>
    <s v="games/tabletop games"/>
    <n v="100"/>
    <n v="43.91"/>
    <x v="6"/>
    <x v="32"/>
    <x v="2246"/>
    <d v="2015-09-04T19:00:10"/>
    <x v="1"/>
    <x v="0"/>
  </r>
  <r>
    <x v="2247"/>
    <s v="Foragers"/>
    <s v="Take on the role of an ancient forager in this fun strategy game from the designer of Biblios."/>
    <x v="17"/>
    <x v="1577"/>
    <x v="0"/>
    <x v="0"/>
    <s v="USD"/>
    <n v="1438185565"/>
    <x v="2247"/>
    <x v="0"/>
    <n v="380"/>
    <x v="0"/>
    <s v="games/tabletop games"/>
    <n v="104"/>
    <n v="50.85"/>
    <x v="6"/>
    <x v="32"/>
    <x v="2247"/>
    <d v="2015-07-29T15:59:25"/>
    <x v="59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x v="0"/>
    <n v="128"/>
    <x v="0"/>
    <s v="games/tabletop games"/>
    <n v="107"/>
    <n v="58.63"/>
    <x v="6"/>
    <x v="32"/>
    <x v="2248"/>
    <d v="2016-12-14T21:01:18"/>
    <x v="1"/>
    <x v="2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x v="0"/>
    <n v="180"/>
    <x v="0"/>
    <s v="games/tabletop games"/>
    <n v="169"/>
    <n v="32.82"/>
    <x v="6"/>
    <x v="32"/>
    <x v="2249"/>
    <d v="2013-04-02T15:52:45"/>
    <x v="22"/>
    <x v="4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x v="0"/>
    <n v="571"/>
    <x v="0"/>
    <s v="games/tabletop games"/>
    <n v="975"/>
    <n v="426.93"/>
    <x v="6"/>
    <x v="32"/>
    <x v="2250"/>
    <d v="2016-12-03T01:07:53"/>
    <x v="13"/>
    <x v="2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x v="0"/>
    <n v="480"/>
    <x v="0"/>
    <s v="games/tabletop games"/>
    <n v="134"/>
    <n v="23.81"/>
    <x v="6"/>
    <x v="32"/>
    <x v="2251"/>
    <d v="2014-08-16T08:17:57"/>
    <x v="31"/>
    <x v="3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x v="0"/>
    <n v="249"/>
    <x v="0"/>
    <s v="games/tabletop games"/>
    <n v="272"/>
    <n v="98.41"/>
    <x v="6"/>
    <x v="32"/>
    <x v="2252"/>
    <d v="2016-08-06T07:52:18"/>
    <x v="20"/>
    <x v="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x v="0"/>
    <n v="84"/>
    <x v="0"/>
    <s v="games/tabletop games"/>
    <n v="113"/>
    <n v="107.32"/>
    <x v="6"/>
    <x v="32"/>
    <x v="2253"/>
    <d v="2015-11-18T16:09:07"/>
    <x v="13"/>
    <x v="0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x v="0"/>
    <n v="197"/>
    <x v="0"/>
    <s v="games/tabletop games"/>
    <n v="460"/>
    <n v="11.67"/>
    <x v="6"/>
    <x v="32"/>
    <x v="2254"/>
    <d v="2017-01-24T15:32:48"/>
    <x v="354"/>
    <x v="1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x v="0"/>
    <n v="271"/>
    <x v="0"/>
    <s v="games/tabletop games"/>
    <n v="287"/>
    <n v="41.78"/>
    <x v="6"/>
    <x v="32"/>
    <x v="2255"/>
    <d v="2016-05-07T22:50:51"/>
    <x v="1"/>
    <x v="2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x v="0"/>
    <n v="50"/>
    <x v="0"/>
    <s v="games/tabletop games"/>
    <n v="223"/>
    <n v="21.38"/>
    <x v="6"/>
    <x v="32"/>
    <x v="2256"/>
    <d v="2016-11-22T10:50:46"/>
    <x v="59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x v="0"/>
    <n v="169"/>
    <x v="0"/>
    <s v="games/tabletop games"/>
    <n v="636"/>
    <n v="94.1"/>
    <x v="6"/>
    <x v="32"/>
    <x v="2257"/>
    <d v="2016-06-19T23:00:00"/>
    <x v="675"/>
    <x v="2"/>
  </r>
  <r>
    <x v="2258"/>
    <s v="A Sundered World"/>
    <s v="A Dungeon World campaign setting that takes place after the end of the worlds."/>
    <x v="41"/>
    <x v="1588"/>
    <x v="0"/>
    <x v="0"/>
    <s v="USD"/>
    <n v="1434045687"/>
    <x v="2258"/>
    <x v="0"/>
    <n v="205"/>
    <x v="0"/>
    <s v="games/tabletop games"/>
    <n v="147"/>
    <n v="15.72"/>
    <x v="6"/>
    <x v="32"/>
    <x v="2258"/>
    <d v="2015-06-11T18:01:27"/>
    <x v="1"/>
    <x v="0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x v="0"/>
    <n v="206"/>
    <x v="0"/>
    <s v="games/tabletop games"/>
    <n v="1867"/>
    <n v="90.64"/>
    <x v="6"/>
    <x v="32"/>
    <x v="2259"/>
    <d v="2016-12-08T19:18:56"/>
    <x v="2"/>
    <x v="2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x v="0"/>
    <n v="84"/>
    <x v="0"/>
    <s v="games/tabletop games"/>
    <n v="327"/>
    <n v="97.3"/>
    <x v="6"/>
    <x v="32"/>
    <x v="2260"/>
    <d v="2014-03-26T23:24:10"/>
    <x v="22"/>
    <x v="3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x v="0"/>
    <n v="210"/>
    <x v="0"/>
    <s v="games/tabletop games"/>
    <n v="780"/>
    <n v="37.119999999999997"/>
    <x v="6"/>
    <x v="32"/>
    <x v="2261"/>
    <d v="2017-02-14T17:23:40"/>
    <x v="31"/>
    <x v="1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x v="0"/>
    <n v="181"/>
    <x v="0"/>
    <s v="games/tabletop games"/>
    <n v="154"/>
    <n v="28.1"/>
    <x v="6"/>
    <x v="32"/>
    <x v="2262"/>
    <d v="2014-11-18T00:00:00"/>
    <x v="676"/>
    <x v="3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x v="0"/>
    <n v="60"/>
    <x v="0"/>
    <s v="games/tabletop games"/>
    <n v="116"/>
    <n v="144.43"/>
    <x v="6"/>
    <x v="32"/>
    <x v="2263"/>
    <d v="2015-01-31T19:58:33"/>
    <x v="31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x v="0"/>
    <n v="445"/>
    <x v="0"/>
    <s v="games/tabletop games"/>
    <n v="180"/>
    <n v="24.27"/>
    <x v="6"/>
    <x v="32"/>
    <x v="2264"/>
    <d v="2016-05-23T03:00:00"/>
    <x v="677"/>
    <x v="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x v="0"/>
    <n v="17"/>
    <x v="0"/>
    <s v="games/tabletop games"/>
    <n v="299"/>
    <n v="35.119999999999997"/>
    <x v="6"/>
    <x v="32"/>
    <x v="2265"/>
    <d v="2016-11-22T20:28:27"/>
    <x v="354"/>
    <x v="2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x v="0"/>
    <n v="194"/>
    <x v="0"/>
    <s v="games/tabletop games"/>
    <n v="320"/>
    <n v="24.76"/>
    <x v="6"/>
    <x v="32"/>
    <x v="2266"/>
    <d v="2016-04-27T02:00:00"/>
    <x v="678"/>
    <x v="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x v="0"/>
    <n v="404"/>
    <x v="0"/>
    <s v="games/tabletop games"/>
    <n v="381"/>
    <n v="188.38"/>
    <x v="6"/>
    <x v="32"/>
    <x v="2267"/>
    <d v="2014-12-21T01:00:00"/>
    <x v="679"/>
    <x v="3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x v="0"/>
    <n v="194"/>
    <x v="0"/>
    <s v="games/tabletop games"/>
    <n v="103"/>
    <n v="148.08000000000001"/>
    <x v="6"/>
    <x v="32"/>
    <x v="2268"/>
    <d v="2017-03-12T01:58:35"/>
    <x v="1"/>
    <x v="1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x v="0"/>
    <n v="902"/>
    <x v="0"/>
    <s v="games/tabletop games"/>
    <n v="1802"/>
    <n v="49.93"/>
    <x v="6"/>
    <x v="32"/>
    <x v="2269"/>
    <d v="2017-03-07T05:00:00"/>
    <x v="680"/>
    <x v="1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x v="0"/>
    <n v="1670"/>
    <x v="0"/>
    <s v="games/tabletop games"/>
    <n v="720"/>
    <n v="107.82"/>
    <x v="6"/>
    <x v="32"/>
    <x v="2270"/>
    <d v="2017-01-10T21:59:00"/>
    <x v="681"/>
    <x v="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x v="0"/>
    <n v="1328"/>
    <x v="0"/>
    <s v="games/tabletop games"/>
    <n v="283"/>
    <n v="42.63"/>
    <x v="6"/>
    <x v="32"/>
    <x v="2271"/>
    <d v="2016-12-10T00:00:04"/>
    <x v="1"/>
    <x v="2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x v="0"/>
    <n v="944"/>
    <x v="0"/>
    <s v="games/tabletop games"/>
    <n v="1357"/>
    <n v="14.37"/>
    <x v="6"/>
    <x v="32"/>
    <x v="2272"/>
    <d v="2015-12-07T16:47:16"/>
    <x v="1"/>
    <x v="0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x v="0"/>
    <n v="147"/>
    <x v="0"/>
    <s v="games/tabletop games"/>
    <n v="220"/>
    <n v="37.479999999999997"/>
    <x v="6"/>
    <x v="32"/>
    <x v="2273"/>
    <d v="2017-03-12T12:10:42"/>
    <x v="191"/>
    <x v="1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x v="0"/>
    <n v="99"/>
    <x v="0"/>
    <s v="games/tabletop games"/>
    <n v="120"/>
    <n v="30.2"/>
    <x v="6"/>
    <x v="32"/>
    <x v="2274"/>
    <d v="2014-02-23T12:00:57"/>
    <x v="1"/>
    <x v="3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x v="0"/>
    <n v="79"/>
    <x v="0"/>
    <s v="games/tabletop games"/>
    <n v="408"/>
    <n v="33.549999999999997"/>
    <x v="6"/>
    <x v="32"/>
    <x v="2275"/>
    <d v="2014-12-22T14:47:59"/>
    <x v="1"/>
    <x v="3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x v="0"/>
    <n v="75"/>
    <x v="0"/>
    <s v="games/tabletop games"/>
    <n v="106"/>
    <n v="64.75"/>
    <x v="6"/>
    <x v="32"/>
    <x v="2276"/>
    <d v="2014-01-05T15:38:09"/>
    <x v="1"/>
    <x v="4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x v="0"/>
    <n v="207"/>
    <x v="0"/>
    <s v="games/tabletop games"/>
    <n v="141"/>
    <n v="57.93"/>
    <x v="6"/>
    <x v="32"/>
    <x v="2277"/>
    <d v="2012-02-27T16:17:03"/>
    <x v="1"/>
    <x v="5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x v="0"/>
    <n v="102"/>
    <x v="0"/>
    <s v="games/tabletop games"/>
    <n v="271"/>
    <n v="53.08"/>
    <x v="6"/>
    <x v="32"/>
    <x v="2278"/>
    <d v="2016-01-03T22:59:00"/>
    <x v="285"/>
    <x v="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x v="0"/>
    <n v="32"/>
    <x v="0"/>
    <s v="games/tabletop games"/>
    <n v="154"/>
    <n v="48.06"/>
    <x v="6"/>
    <x v="32"/>
    <x v="2279"/>
    <d v="2015-02-04T04:00:00"/>
    <x v="682"/>
    <x v="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x v="0"/>
    <n v="480"/>
    <x v="0"/>
    <s v="games/tabletop games"/>
    <n v="404"/>
    <n v="82.4"/>
    <x v="6"/>
    <x v="32"/>
    <x v="2280"/>
    <d v="2015-09-17T14:59:51"/>
    <x v="1"/>
    <x v="0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x v="0"/>
    <n v="11"/>
    <x v="0"/>
    <s v="music/rock"/>
    <n v="185"/>
    <n v="50.45"/>
    <x v="4"/>
    <x v="11"/>
    <x v="2281"/>
    <d v="2011-07-25T06:50:00"/>
    <x v="418"/>
    <x v="6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x v="0"/>
    <n v="12"/>
    <x v="0"/>
    <s v="music/rock"/>
    <n v="185"/>
    <n v="115.83"/>
    <x v="4"/>
    <x v="11"/>
    <x v="2282"/>
    <d v="2016-01-14T04:11:26"/>
    <x v="14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x v="0"/>
    <n v="48"/>
    <x v="0"/>
    <s v="music/rock"/>
    <n v="101"/>
    <n v="63.03"/>
    <x v="4"/>
    <x v="11"/>
    <x v="2283"/>
    <d v="2012-05-09T02:00:04"/>
    <x v="80"/>
    <x v="5"/>
  </r>
  <r>
    <x v="2284"/>
    <s v="Make a record, write a song, take the Vinyl Skyway. "/>
    <s v="The Vinyl Skyway reunite to make a third album. "/>
    <x v="12"/>
    <x v="1614"/>
    <x v="0"/>
    <x v="0"/>
    <s v="USD"/>
    <n v="1299902400"/>
    <x v="2284"/>
    <x v="0"/>
    <n v="59"/>
    <x v="0"/>
    <s v="music/rock"/>
    <n v="106"/>
    <n v="108.02"/>
    <x v="4"/>
    <x v="11"/>
    <x v="2284"/>
    <d v="2011-03-12T04:00:00"/>
    <x v="452"/>
    <x v="6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x v="0"/>
    <n v="79"/>
    <x v="0"/>
    <s v="music/rock"/>
    <n v="121"/>
    <n v="46.09"/>
    <x v="4"/>
    <x v="11"/>
    <x v="2285"/>
    <d v="2012-06-29T04:27:23"/>
    <x v="1"/>
    <x v="5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x v="0"/>
    <n v="14"/>
    <x v="0"/>
    <s v="music/rock"/>
    <n v="100"/>
    <n v="107.21"/>
    <x v="4"/>
    <x v="11"/>
    <x v="2286"/>
    <d v="2013-09-06T03:59:00"/>
    <x v="683"/>
    <x v="4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x v="0"/>
    <n v="106"/>
    <x v="0"/>
    <s v="music/rock"/>
    <n v="120"/>
    <n v="50.93"/>
    <x v="4"/>
    <x v="11"/>
    <x v="2287"/>
    <d v="2014-06-23T16:01:00"/>
    <x v="31"/>
    <x v="3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x v="0"/>
    <n v="25"/>
    <x v="0"/>
    <s v="music/rock"/>
    <n v="100"/>
    <n v="40.04"/>
    <x v="4"/>
    <x v="11"/>
    <x v="2288"/>
    <d v="2012-06-26T18:00:00"/>
    <x v="684"/>
    <x v="5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x v="0"/>
    <n v="25"/>
    <x v="0"/>
    <s v="music/rock"/>
    <n v="107"/>
    <n v="64.44"/>
    <x v="4"/>
    <x v="11"/>
    <x v="2289"/>
    <d v="2013-12-06T23:22:00"/>
    <x v="427"/>
    <x v="4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x v="0"/>
    <n v="29"/>
    <x v="0"/>
    <s v="music/rock"/>
    <n v="104"/>
    <n v="53.83"/>
    <x v="4"/>
    <x v="11"/>
    <x v="2290"/>
    <d v="2009-12-01T17:00:00"/>
    <x v="685"/>
    <x v="8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x v="0"/>
    <n v="43"/>
    <x v="0"/>
    <s v="music/rock"/>
    <n v="173"/>
    <n v="100.47"/>
    <x v="4"/>
    <x v="11"/>
    <x v="2291"/>
    <d v="2012-04-23T04:00:00"/>
    <x v="686"/>
    <x v="5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x v="0"/>
    <n v="46"/>
    <x v="0"/>
    <s v="music/rock"/>
    <n v="107"/>
    <n v="46.63"/>
    <x v="4"/>
    <x v="11"/>
    <x v="2292"/>
    <d v="2012-04-18T16:44:36"/>
    <x v="1"/>
    <x v="5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x v="0"/>
    <n v="27"/>
    <x v="0"/>
    <s v="music/rock"/>
    <n v="108"/>
    <n v="34.07"/>
    <x v="4"/>
    <x v="11"/>
    <x v="2293"/>
    <d v="2012-09-25T03:59:00"/>
    <x v="687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x v="0"/>
    <n v="112"/>
    <x v="0"/>
    <s v="music/rock"/>
    <n v="146"/>
    <n v="65.209999999999994"/>
    <x v="4"/>
    <x v="11"/>
    <x v="2294"/>
    <d v="2013-01-20T17:21:20"/>
    <x v="1"/>
    <x v="5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x v="0"/>
    <n v="34"/>
    <x v="0"/>
    <s v="music/rock"/>
    <n v="125"/>
    <n v="44.21"/>
    <x v="4"/>
    <x v="11"/>
    <x v="2295"/>
    <d v="2013-01-26T22:54:16"/>
    <x v="1"/>
    <x v="5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x v="0"/>
    <n v="145"/>
    <x v="0"/>
    <s v="music/rock"/>
    <n v="149"/>
    <n v="71.97"/>
    <x v="4"/>
    <x v="11"/>
    <x v="2296"/>
    <d v="2012-02-23T17:33:46"/>
    <x v="6"/>
    <x v="5"/>
  </r>
  <r>
    <x v="2297"/>
    <s v="Company Company: Debut EP"/>
    <s v="New Jersey Alternative Rock band COCO needs YOUR help self-releasing debut EP!"/>
    <x v="28"/>
    <x v="1626"/>
    <x v="0"/>
    <x v="0"/>
    <s v="USD"/>
    <n v="1331697540"/>
    <x v="2297"/>
    <x v="0"/>
    <n v="19"/>
    <x v="0"/>
    <s v="music/rock"/>
    <n v="101"/>
    <n v="52.95"/>
    <x v="4"/>
    <x v="11"/>
    <x v="2297"/>
    <d v="2012-03-14T03:59:00"/>
    <x v="688"/>
    <x v="5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x v="0"/>
    <n v="288"/>
    <x v="0"/>
    <s v="music/rock"/>
    <n v="105"/>
    <n v="109.45"/>
    <x v="4"/>
    <x v="11"/>
    <x v="2298"/>
    <d v="2014-03-26T19:10:33"/>
    <x v="22"/>
    <x v="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x v="0"/>
    <n v="14"/>
    <x v="0"/>
    <s v="music/rock"/>
    <n v="350"/>
    <n v="75.040000000000006"/>
    <x v="4"/>
    <x v="11"/>
    <x v="2299"/>
    <d v="2011-02-06T00:46:49"/>
    <x v="20"/>
    <x v="6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x v="0"/>
    <n v="7"/>
    <x v="0"/>
    <s v="music/rock"/>
    <n v="101"/>
    <n v="115.71"/>
    <x v="4"/>
    <x v="11"/>
    <x v="2300"/>
    <d v="2012-06-28T17:26:56"/>
    <x v="59"/>
    <x v="5"/>
  </r>
  <r>
    <x v="2301"/>
    <s v="Time Crash"/>
    <s v="We are America's first trock band, and we're ready to bring you our first album!"/>
    <x v="10"/>
    <x v="1630"/>
    <x v="0"/>
    <x v="0"/>
    <s v="USD"/>
    <n v="1371785496"/>
    <x v="2301"/>
    <x v="1"/>
    <n v="211"/>
    <x v="0"/>
    <s v="music/indie rock"/>
    <n v="134"/>
    <n v="31.66"/>
    <x v="4"/>
    <x v="14"/>
    <x v="2301"/>
    <d v="2013-06-21T03:31:36"/>
    <x v="1"/>
    <x v="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x v="1"/>
    <n v="85"/>
    <x v="0"/>
    <s v="music/indie rock"/>
    <n v="171"/>
    <n v="46.18"/>
    <x v="4"/>
    <x v="14"/>
    <x v="2302"/>
    <d v="2013-12-31T07:00:00"/>
    <x v="689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x v="1"/>
    <n v="103"/>
    <x v="0"/>
    <s v="music/indie rock"/>
    <n v="109"/>
    <n v="68.48"/>
    <x v="4"/>
    <x v="14"/>
    <x v="2303"/>
    <d v="2011-12-13T03:39:56"/>
    <x v="182"/>
    <x v="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x v="1"/>
    <n v="113"/>
    <x v="0"/>
    <s v="music/indie rock"/>
    <n v="101"/>
    <n v="53.47"/>
    <x v="4"/>
    <x v="14"/>
    <x v="2304"/>
    <d v="2011-01-01T04:59:00"/>
    <x v="690"/>
    <x v="7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x v="1"/>
    <n v="167"/>
    <x v="0"/>
    <s v="music/indie rock"/>
    <n v="101"/>
    <n v="109.11"/>
    <x v="4"/>
    <x v="14"/>
    <x v="2305"/>
    <d v="2014-08-08T18:00:00"/>
    <x v="691"/>
    <x v="3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x v="1"/>
    <n v="73"/>
    <x v="0"/>
    <s v="music/indie rock"/>
    <n v="107"/>
    <n v="51.19"/>
    <x v="4"/>
    <x v="14"/>
    <x v="2306"/>
    <d v="2012-03-10T04:02:09"/>
    <x v="1"/>
    <x v="5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x v="1"/>
    <n v="75"/>
    <x v="0"/>
    <s v="music/indie rock"/>
    <n v="107"/>
    <n v="27.94"/>
    <x v="4"/>
    <x v="14"/>
    <x v="2307"/>
    <d v="2012-05-05T19:15:28"/>
    <x v="1"/>
    <x v="5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x v="1"/>
    <n v="614"/>
    <x v="0"/>
    <s v="music/indie rock"/>
    <n v="101"/>
    <n v="82.5"/>
    <x v="4"/>
    <x v="14"/>
    <x v="2308"/>
    <d v="2014-08-29T01:00:00"/>
    <x v="575"/>
    <x v="3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x v="1"/>
    <n v="107"/>
    <x v="0"/>
    <s v="music/indie rock"/>
    <n v="107"/>
    <n v="59.82"/>
    <x v="4"/>
    <x v="14"/>
    <x v="2309"/>
    <d v="2013-03-09T23:42:17"/>
    <x v="6"/>
    <x v="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x v="1"/>
    <n v="1224"/>
    <x v="0"/>
    <s v="music/indie rock"/>
    <n v="429"/>
    <n v="64.819999999999993"/>
    <x v="4"/>
    <x v="14"/>
    <x v="2310"/>
    <d v="2013-03-21T18:03:35"/>
    <x v="22"/>
    <x v="4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x v="1"/>
    <n v="104"/>
    <x v="0"/>
    <s v="music/indie rock"/>
    <n v="104"/>
    <n v="90.1"/>
    <x v="4"/>
    <x v="14"/>
    <x v="2311"/>
    <d v="2014-05-07T00:06:29"/>
    <x v="1"/>
    <x v="3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x v="1"/>
    <n v="79"/>
    <x v="0"/>
    <s v="music/indie rock"/>
    <n v="108"/>
    <n v="40.96"/>
    <x v="4"/>
    <x v="14"/>
    <x v="2312"/>
    <d v="2014-04-18T23:00:00"/>
    <x v="692"/>
    <x v="3"/>
  </r>
  <r>
    <x v="2313"/>
    <s v="A SUNNY DAY IN GLASGOW"/>
    <s v="A Sunny Day in Glasgow are recording a new album and we need your help!"/>
    <x v="10"/>
    <x v="1642"/>
    <x v="0"/>
    <x v="0"/>
    <s v="USD"/>
    <n v="1336086026"/>
    <x v="2313"/>
    <x v="1"/>
    <n v="157"/>
    <x v="0"/>
    <s v="music/indie rock"/>
    <n v="176"/>
    <n v="56"/>
    <x v="4"/>
    <x v="14"/>
    <x v="2313"/>
    <d v="2012-05-03T23:00:26"/>
    <x v="1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x v="1"/>
    <n v="50"/>
    <x v="0"/>
    <s v="music/indie rock"/>
    <n v="157"/>
    <n v="37.67"/>
    <x v="4"/>
    <x v="14"/>
    <x v="2314"/>
    <d v="2012-06-07T13:14:17"/>
    <x v="1"/>
    <x v="5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x v="1"/>
    <n v="64"/>
    <x v="0"/>
    <s v="music/indie rock"/>
    <n v="103"/>
    <n v="40.08"/>
    <x v="4"/>
    <x v="14"/>
    <x v="2315"/>
    <d v="2012-05-05T17:25:43"/>
    <x v="1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x v="1"/>
    <n v="200"/>
    <x v="0"/>
    <s v="music/indie rock"/>
    <n v="104"/>
    <n v="78.03"/>
    <x v="4"/>
    <x v="14"/>
    <x v="2316"/>
    <d v="2009-12-09T18:24:00"/>
    <x v="693"/>
    <x v="8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x v="1"/>
    <n v="22"/>
    <x v="0"/>
    <s v="music/indie rock"/>
    <n v="104"/>
    <n v="18.91"/>
    <x v="4"/>
    <x v="14"/>
    <x v="2317"/>
    <d v="2010-02-15T05:00:00"/>
    <x v="593"/>
    <x v="7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x v="1"/>
    <n v="163"/>
    <x v="0"/>
    <s v="music/indie rock"/>
    <n v="121"/>
    <n v="37.130000000000003"/>
    <x v="4"/>
    <x v="14"/>
    <x v="2318"/>
    <d v="2009-09-26T03:59:00"/>
    <x v="694"/>
    <x v="8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x v="1"/>
    <n v="77"/>
    <x v="0"/>
    <s v="music/indie rock"/>
    <n v="108"/>
    <n v="41.96"/>
    <x v="4"/>
    <x v="14"/>
    <x v="2319"/>
    <d v="2013-12-15T01:58:05"/>
    <x v="1"/>
    <x v="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x v="1"/>
    <n v="89"/>
    <x v="0"/>
    <s v="music/indie rock"/>
    <n v="109"/>
    <n v="61.04"/>
    <x v="4"/>
    <x v="14"/>
    <x v="2320"/>
    <d v="2014-04-02T18:36:40"/>
    <x v="89"/>
    <x v="3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x v="0"/>
    <n v="64"/>
    <x v="1"/>
    <s v="food/small batch"/>
    <n v="39"/>
    <n v="64.53"/>
    <x v="7"/>
    <x v="33"/>
    <x v="2321"/>
    <d v="2017-04-04T05:15:01"/>
    <x v="22"/>
    <x v="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x v="0"/>
    <n v="4"/>
    <x v="1"/>
    <s v="food/small batch"/>
    <n v="3"/>
    <n v="21.25"/>
    <x v="7"/>
    <x v="33"/>
    <x v="2322"/>
    <d v="2017-04-09T20:29:29"/>
    <x v="22"/>
    <x v="1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x v="0"/>
    <n v="4"/>
    <x v="1"/>
    <s v="food/small batch"/>
    <n v="48"/>
    <n v="30"/>
    <x v="7"/>
    <x v="33"/>
    <x v="2323"/>
    <d v="2017-03-20T18:07:27"/>
    <x v="354"/>
    <x v="1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x v="2324"/>
    <x v="0"/>
    <n v="61"/>
    <x v="1"/>
    <s v="food/small batch"/>
    <n v="21"/>
    <n v="25.49"/>
    <x v="7"/>
    <x v="33"/>
    <x v="2324"/>
    <d v="2017-03-26T20:14:45"/>
    <x v="22"/>
    <x v="1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x v="0"/>
    <n v="7"/>
    <x v="1"/>
    <s v="food/small batch"/>
    <n v="8"/>
    <n v="11.43"/>
    <x v="7"/>
    <x v="33"/>
    <x v="2325"/>
    <d v="2017-03-29T23:32:11"/>
    <x v="22"/>
    <x v="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x v="0"/>
    <n v="1"/>
    <x v="1"/>
    <s v="food/small batch"/>
    <n v="1"/>
    <n v="108"/>
    <x v="7"/>
    <x v="33"/>
    <x v="2326"/>
    <d v="2017-04-30T17:00:00"/>
    <x v="695"/>
    <x v="1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x v="1"/>
    <n v="3355"/>
    <x v="0"/>
    <s v="food/small batch"/>
    <n v="526"/>
    <n v="54.88"/>
    <x v="7"/>
    <x v="33"/>
    <x v="2327"/>
    <d v="2014-08-26T22:00:40"/>
    <x v="6"/>
    <x v="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x v="1"/>
    <n v="537"/>
    <x v="0"/>
    <s v="food/small batch"/>
    <n v="254"/>
    <n v="47.38"/>
    <x v="7"/>
    <x v="33"/>
    <x v="2328"/>
    <d v="2015-06-14T18:45:37"/>
    <x v="1"/>
    <x v="0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x v="1"/>
    <n v="125"/>
    <x v="0"/>
    <s v="food/small batch"/>
    <n v="106"/>
    <n v="211.84"/>
    <x v="7"/>
    <x v="33"/>
    <x v="2329"/>
    <d v="2014-07-17T14:59:06"/>
    <x v="1"/>
    <x v="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x v="1"/>
    <n v="163"/>
    <x v="0"/>
    <s v="food/small batch"/>
    <n v="102"/>
    <n v="219.93"/>
    <x v="7"/>
    <x v="33"/>
    <x v="2330"/>
    <d v="2015-12-25T00:00:00"/>
    <x v="515"/>
    <x v="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x v="1"/>
    <n v="283"/>
    <x v="0"/>
    <s v="food/small batch"/>
    <n v="144"/>
    <n v="40.799999999999997"/>
    <x v="7"/>
    <x v="33"/>
    <x v="2331"/>
    <d v="2014-08-18T00:08:10"/>
    <x v="1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x v="1"/>
    <n v="352"/>
    <x v="0"/>
    <s v="food/small batch"/>
    <n v="106"/>
    <n v="75.5"/>
    <x v="7"/>
    <x v="33"/>
    <x v="2332"/>
    <d v="2015-02-06T15:04:31"/>
    <x v="1"/>
    <x v="0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x v="1"/>
    <n v="94"/>
    <x v="0"/>
    <s v="food/small batch"/>
    <n v="212"/>
    <n v="13.54"/>
    <x v="7"/>
    <x v="33"/>
    <x v="2333"/>
    <d v="2014-05-29T17:50:00"/>
    <x v="696"/>
    <x v="3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x v="1"/>
    <n v="67"/>
    <x v="0"/>
    <s v="food/small batch"/>
    <n v="102"/>
    <n v="60.87"/>
    <x v="7"/>
    <x v="33"/>
    <x v="2334"/>
    <d v="2014-11-05T17:34:00"/>
    <x v="351"/>
    <x v="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x v="1"/>
    <n v="221"/>
    <x v="0"/>
    <s v="food/small batch"/>
    <n v="102"/>
    <n v="115.69"/>
    <x v="7"/>
    <x v="33"/>
    <x v="2335"/>
    <d v="2014-06-11T13:44:03"/>
    <x v="1"/>
    <x v="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x v="1"/>
    <n v="2165"/>
    <x v="0"/>
    <s v="food/small batch"/>
    <n v="521"/>
    <n v="48.1"/>
    <x v="7"/>
    <x v="33"/>
    <x v="2336"/>
    <d v="2014-03-08T22:11:35"/>
    <x v="4"/>
    <x v="3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x v="1"/>
    <n v="179"/>
    <x v="0"/>
    <s v="food/small batch"/>
    <n v="111"/>
    <n v="74.180000000000007"/>
    <x v="7"/>
    <x v="33"/>
    <x v="2337"/>
    <d v="2014-06-26T15:22:23"/>
    <x v="1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x v="1"/>
    <n v="123"/>
    <x v="0"/>
    <s v="food/small batch"/>
    <n v="101"/>
    <n v="123.35"/>
    <x v="7"/>
    <x v="33"/>
    <x v="2338"/>
    <d v="2014-06-29T21:31:24"/>
    <x v="1"/>
    <x v="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x v="1"/>
    <n v="1104"/>
    <x v="0"/>
    <s v="food/small batch"/>
    <n v="294"/>
    <n v="66.62"/>
    <x v="7"/>
    <x v="33"/>
    <x v="2339"/>
    <d v="2016-12-19T07:59:00"/>
    <x v="697"/>
    <x v="2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x v="1"/>
    <n v="403"/>
    <x v="0"/>
    <s v="food/small batch"/>
    <n v="106"/>
    <n v="104.99"/>
    <x v="7"/>
    <x v="33"/>
    <x v="2340"/>
    <d v="2016-10-30T15:25:38"/>
    <x v="1"/>
    <x v="2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x v="0"/>
    <n v="0"/>
    <x v="1"/>
    <s v="technology/web"/>
    <n v="0"/>
    <n v="0"/>
    <x v="2"/>
    <x v="7"/>
    <x v="2341"/>
    <d v="2015-07-12T19:31:44"/>
    <x v="1"/>
    <x v="0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x v="0"/>
    <n v="0"/>
    <x v="1"/>
    <s v="technology/web"/>
    <n v="0"/>
    <n v="0"/>
    <x v="2"/>
    <x v="7"/>
    <x v="2342"/>
    <d v="2014-10-06T05:00:00"/>
    <x v="698"/>
    <x v="3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x v="0"/>
    <n v="1"/>
    <x v="1"/>
    <s v="technology/web"/>
    <n v="3"/>
    <n v="300"/>
    <x v="2"/>
    <x v="7"/>
    <x v="2343"/>
    <d v="2016-01-08T19:47:00"/>
    <x v="76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x v="0"/>
    <n v="1"/>
    <x v="1"/>
    <s v="technology/web"/>
    <n v="0"/>
    <n v="1"/>
    <x v="2"/>
    <x v="7"/>
    <x v="2344"/>
    <d v="2016-06-24T17:27:49"/>
    <x v="1"/>
    <x v="2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x v="0"/>
    <n v="0"/>
    <x v="1"/>
    <s v="technology/web"/>
    <n v="0"/>
    <n v="0"/>
    <x v="2"/>
    <x v="7"/>
    <x v="2345"/>
    <d v="2015-03-31T23:39:00"/>
    <x v="641"/>
    <x v="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x v="0"/>
    <n v="3"/>
    <x v="1"/>
    <s v="technology/web"/>
    <n v="0"/>
    <n v="13"/>
    <x v="2"/>
    <x v="7"/>
    <x v="2346"/>
    <d v="2016-10-17T19:10:31"/>
    <x v="26"/>
    <x v="2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x v="0"/>
    <n v="1"/>
    <x v="1"/>
    <s v="technology/web"/>
    <n v="2"/>
    <n v="15"/>
    <x v="2"/>
    <x v="7"/>
    <x v="2347"/>
    <d v="2016-08-25T14:34:36"/>
    <x v="1"/>
    <x v="2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x v="0"/>
    <n v="5"/>
    <x v="1"/>
    <s v="technology/web"/>
    <n v="0"/>
    <n v="54"/>
    <x v="2"/>
    <x v="7"/>
    <x v="2348"/>
    <d v="2016-02-20T22:22:18"/>
    <x v="14"/>
    <x v="0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x v="0"/>
    <n v="0"/>
    <x v="1"/>
    <s v="technology/web"/>
    <n v="0"/>
    <n v="0"/>
    <x v="2"/>
    <x v="7"/>
    <x v="2349"/>
    <d v="2015-08-11T18:37:08"/>
    <x v="229"/>
    <x v="0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x v="0"/>
    <n v="0"/>
    <x v="1"/>
    <s v="technology/web"/>
    <n v="0"/>
    <n v="0"/>
    <x v="2"/>
    <x v="7"/>
    <x v="2350"/>
    <d v="2017-01-03T20:12:50"/>
    <x v="1"/>
    <x v="2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x v="2351"/>
    <x v="0"/>
    <n v="7"/>
    <x v="1"/>
    <s v="technology/web"/>
    <n v="1"/>
    <n v="15.43"/>
    <x v="2"/>
    <x v="7"/>
    <x v="2351"/>
    <d v="2015-04-30T02:25:39"/>
    <x v="1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x v="0"/>
    <n v="0"/>
    <x v="1"/>
    <s v="technology/web"/>
    <n v="0"/>
    <n v="0"/>
    <x v="2"/>
    <x v="7"/>
    <x v="2352"/>
    <d v="2015-06-06T15:12:32"/>
    <x v="14"/>
    <x v="0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x v="0"/>
    <n v="0"/>
    <x v="1"/>
    <s v="technology/web"/>
    <n v="0"/>
    <n v="0"/>
    <x v="2"/>
    <x v="7"/>
    <x v="2353"/>
    <d v="2015-04-21T16:13:42"/>
    <x v="542"/>
    <x v="0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x v="0"/>
    <n v="1"/>
    <x v="1"/>
    <s v="technology/web"/>
    <n v="0"/>
    <n v="25"/>
    <x v="2"/>
    <x v="7"/>
    <x v="2354"/>
    <d v="2015-01-10T17:21:00"/>
    <x v="14"/>
    <x v="3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x v="0"/>
    <n v="2"/>
    <x v="1"/>
    <s v="technology/web"/>
    <n v="1"/>
    <n v="27.5"/>
    <x v="2"/>
    <x v="7"/>
    <x v="2355"/>
    <d v="2015-05-02T22:02:16"/>
    <x v="1"/>
    <x v="0"/>
  </r>
  <r>
    <x v="2356"/>
    <s v="HardstyleUnited.com (Canceled)"/>
    <s v="HardstyleUnited.com The Global Hardstyle community. Your Hardstyle community."/>
    <x v="3"/>
    <x v="117"/>
    <x v="1"/>
    <x v="9"/>
    <s v="EUR"/>
    <n v="1433530104"/>
    <x v="2356"/>
    <x v="0"/>
    <n v="0"/>
    <x v="1"/>
    <s v="technology/web"/>
    <n v="0"/>
    <n v="0"/>
    <x v="2"/>
    <x v="7"/>
    <x v="2356"/>
    <d v="2015-06-05T18:48:24"/>
    <x v="1"/>
    <x v="0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x v="0"/>
    <n v="0"/>
    <x v="1"/>
    <s v="technology/web"/>
    <n v="0"/>
    <n v="0"/>
    <x v="2"/>
    <x v="7"/>
    <x v="2357"/>
    <d v="2015-10-17T14:52:58"/>
    <x v="1"/>
    <x v="0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x v="0"/>
    <n v="0"/>
    <x v="1"/>
    <s v="technology/web"/>
    <n v="0"/>
    <n v="0"/>
    <x v="2"/>
    <x v="7"/>
    <x v="2358"/>
    <d v="2015-01-31T00:39:00"/>
    <x v="699"/>
    <x v="3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x v="0"/>
    <n v="3"/>
    <x v="1"/>
    <s v="technology/web"/>
    <n v="15"/>
    <n v="367"/>
    <x v="2"/>
    <x v="7"/>
    <x v="2359"/>
    <d v="2015-08-03T15:35:24"/>
    <x v="14"/>
    <x v="0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x v="0"/>
    <n v="1"/>
    <x v="1"/>
    <s v="technology/web"/>
    <n v="0"/>
    <n v="2"/>
    <x v="2"/>
    <x v="7"/>
    <x v="2360"/>
    <d v="2016-02-07T16:58:00"/>
    <x v="1"/>
    <x v="2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x v="0"/>
    <n v="0"/>
    <x v="1"/>
    <s v="technology/web"/>
    <n v="0"/>
    <n v="0"/>
    <x v="2"/>
    <x v="7"/>
    <x v="2361"/>
    <d v="2016-04-30T22:00:00"/>
    <x v="94"/>
    <x v="2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x v="0"/>
    <n v="2"/>
    <x v="1"/>
    <s v="technology/web"/>
    <n v="29"/>
    <n v="60"/>
    <x v="2"/>
    <x v="7"/>
    <x v="2362"/>
    <d v="2014-12-11T16:31:10"/>
    <x v="1"/>
    <x v="3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x v="0"/>
    <n v="0"/>
    <x v="1"/>
    <s v="technology/web"/>
    <n v="0"/>
    <n v="0"/>
    <x v="2"/>
    <x v="7"/>
    <x v="2363"/>
    <d v="2015-12-29T00:16:40"/>
    <x v="26"/>
    <x v="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x v="0"/>
    <n v="0"/>
    <x v="1"/>
    <s v="technology/web"/>
    <n v="0"/>
    <n v="0"/>
    <x v="2"/>
    <x v="7"/>
    <x v="2364"/>
    <d v="2015-10-26T22:25:56"/>
    <x v="233"/>
    <x v="0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x v="0"/>
    <n v="0"/>
    <x v="1"/>
    <s v="technology/web"/>
    <n v="0"/>
    <n v="0"/>
    <x v="2"/>
    <x v="7"/>
    <x v="2365"/>
    <d v="2016-01-17T23:00:00"/>
    <x v="7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x v="0"/>
    <n v="27"/>
    <x v="1"/>
    <s v="technology/web"/>
    <n v="11"/>
    <n v="97.41"/>
    <x v="2"/>
    <x v="7"/>
    <x v="2366"/>
    <d v="2015-10-21T12:45:33"/>
    <x v="1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x v="0"/>
    <n v="14"/>
    <x v="1"/>
    <s v="technology/web"/>
    <n v="1"/>
    <n v="47.86"/>
    <x v="2"/>
    <x v="7"/>
    <x v="2367"/>
    <d v="2016-04-25T22:16:56"/>
    <x v="80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x v="0"/>
    <n v="2"/>
    <x v="1"/>
    <s v="technology/web"/>
    <n v="0"/>
    <n v="50"/>
    <x v="2"/>
    <x v="7"/>
    <x v="2368"/>
    <d v="2015-04-14T16:19:25"/>
    <x v="129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x v="0"/>
    <n v="0"/>
    <x v="1"/>
    <s v="technology/web"/>
    <n v="0"/>
    <n v="0"/>
    <x v="2"/>
    <x v="7"/>
    <x v="2369"/>
    <d v="2016-02-10T19:30:11"/>
    <x v="1"/>
    <x v="2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x v="0"/>
    <n v="4"/>
    <x v="1"/>
    <s v="technology/web"/>
    <n v="0"/>
    <n v="20.5"/>
    <x v="2"/>
    <x v="7"/>
    <x v="2370"/>
    <d v="2014-12-18T04:32:21"/>
    <x v="1"/>
    <x v="3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x v="0"/>
    <n v="0"/>
    <x v="1"/>
    <s v="technology/web"/>
    <n v="0"/>
    <n v="0"/>
    <x v="2"/>
    <x v="7"/>
    <x v="2371"/>
    <d v="2015-06-25T18:39:56"/>
    <x v="1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x v="0"/>
    <n v="6"/>
    <x v="1"/>
    <s v="technology/web"/>
    <n v="3"/>
    <n v="30"/>
    <x v="2"/>
    <x v="7"/>
    <x v="2372"/>
    <d v="2015-04-24T01:39:31"/>
    <x v="1"/>
    <x v="0"/>
  </r>
  <r>
    <x v="2373"/>
    <s v="Cykelauktion.com (Canceled)"/>
    <s v="We want to create a safe marketplace for buying and selling bicycles."/>
    <x v="343"/>
    <x v="155"/>
    <x v="1"/>
    <x v="11"/>
    <s v="SEK"/>
    <n v="1440863624"/>
    <x v="2373"/>
    <x v="0"/>
    <n v="1"/>
    <x v="1"/>
    <s v="technology/web"/>
    <n v="0"/>
    <n v="50"/>
    <x v="2"/>
    <x v="7"/>
    <x v="2373"/>
    <d v="2015-08-29T15:53:44"/>
    <x v="1"/>
    <x v="0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x v="0"/>
    <n v="1"/>
    <x v="1"/>
    <s v="technology/web"/>
    <n v="0"/>
    <n v="10"/>
    <x v="2"/>
    <x v="7"/>
    <x v="2374"/>
    <d v="2015-02-12T20:14:20"/>
    <x v="1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x v="0"/>
    <n v="0"/>
    <x v="1"/>
    <s v="technology/web"/>
    <n v="0"/>
    <n v="0"/>
    <x v="2"/>
    <x v="7"/>
    <x v="2375"/>
    <d v="2016-09-09T20:03:57"/>
    <x v="1"/>
    <x v="2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x v="0"/>
    <n v="4"/>
    <x v="1"/>
    <s v="technology/web"/>
    <n v="11"/>
    <n v="81.58"/>
    <x v="2"/>
    <x v="7"/>
    <x v="2376"/>
    <d v="2015-12-10T22:12:46"/>
    <x v="1"/>
    <x v="0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x v="0"/>
    <n v="0"/>
    <x v="1"/>
    <s v="technology/web"/>
    <n v="0"/>
    <n v="0"/>
    <x v="2"/>
    <x v="7"/>
    <x v="2377"/>
    <d v="2016-11-25T21:53:03"/>
    <x v="13"/>
    <x v="2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x v="0"/>
    <n v="0"/>
    <x v="1"/>
    <s v="technology/web"/>
    <n v="0"/>
    <n v="0"/>
    <x v="2"/>
    <x v="7"/>
    <x v="2378"/>
    <d v="2015-08-26T00:18:50"/>
    <x v="229"/>
    <x v="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x v="2379"/>
    <x v="0"/>
    <n v="0"/>
    <x v="1"/>
    <s v="technology/web"/>
    <n v="0"/>
    <n v="0"/>
    <x v="2"/>
    <x v="7"/>
    <x v="2379"/>
    <d v="2015-10-05T00:23:36"/>
    <x v="26"/>
    <x v="0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x v="0"/>
    <n v="3"/>
    <x v="1"/>
    <s v="technology/web"/>
    <n v="0"/>
    <n v="18.329999999999998"/>
    <x v="2"/>
    <x v="7"/>
    <x v="2380"/>
    <d v="2015-10-01T19:02:22"/>
    <x v="1"/>
    <x v="0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x v="0"/>
    <n v="7"/>
    <x v="1"/>
    <s v="technology/web"/>
    <n v="2"/>
    <n v="224.43"/>
    <x v="2"/>
    <x v="7"/>
    <x v="2381"/>
    <d v="2015-04-10T22:27:28"/>
    <x v="1"/>
    <x v="0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x v="0"/>
    <n v="2"/>
    <x v="1"/>
    <s v="technology/web"/>
    <n v="3"/>
    <n v="37.5"/>
    <x v="2"/>
    <x v="7"/>
    <x v="2382"/>
    <d v="2015-08-04T04:30:03"/>
    <x v="36"/>
    <x v="0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x v="0"/>
    <n v="3"/>
    <x v="1"/>
    <s v="technology/web"/>
    <n v="4"/>
    <n v="145"/>
    <x v="2"/>
    <x v="7"/>
    <x v="2383"/>
    <d v="2015-02-22T01:21:47"/>
    <x v="1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x v="0"/>
    <n v="8"/>
    <x v="1"/>
    <s v="technology/web"/>
    <n v="1"/>
    <n v="1"/>
    <x v="2"/>
    <x v="7"/>
    <x v="2384"/>
    <d v="2014-11-14T02:37:23"/>
    <x v="13"/>
    <x v="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x v="0"/>
    <n v="7"/>
    <x v="1"/>
    <s v="technology/web"/>
    <n v="1"/>
    <n v="112.57"/>
    <x v="2"/>
    <x v="7"/>
    <x v="2385"/>
    <d v="2015-08-05T16:50:32"/>
    <x v="1"/>
    <x v="0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x v="0"/>
    <n v="0"/>
    <x v="1"/>
    <s v="technology/web"/>
    <n v="0"/>
    <n v="0"/>
    <x v="2"/>
    <x v="7"/>
    <x v="2386"/>
    <d v="2015-01-10T20:07:04"/>
    <x v="14"/>
    <x v="3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x v="0"/>
    <n v="3"/>
    <x v="1"/>
    <s v="technology/web"/>
    <n v="1"/>
    <n v="342"/>
    <x v="2"/>
    <x v="7"/>
    <x v="2387"/>
    <d v="2016-07-22T15:02:20"/>
    <x v="26"/>
    <x v="2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x v="0"/>
    <n v="8"/>
    <x v="1"/>
    <s v="technology/web"/>
    <n v="1"/>
    <n v="57.88"/>
    <x v="2"/>
    <x v="7"/>
    <x v="2388"/>
    <d v="2015-01-15T19:29:00"/>
    <x v="22"/>
    <x v="3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x v="0"/>
    <n v="1"/>
    <x v="1"/>
    <s v="technology/web"/>
    <n v="0"/>
    <n v="30"/>
    <x v="2"/>
    <x v="7"/>
    <x v="2389"/>
    <d v="2015-07-25T21:59:00"/>
    <x v="701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x v="0"/>
    <n v="0"/>
    <x v="1"/>
    <s v="technology/web"/>
    <n v="0"/>
    <n v="0"/>
    <x v="2"/>
    <x v="7"/>
    <x v="2390"/>
    <d v="2015-01-04T06:17:44"/>
    <x v="4"/>
    <x v="3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x v="0"/>
    <n v="1"/>
    <x v="1"/>
    <s v="technology/web"/>
    <n v="0"/>
    <n v="25"/>
    <x v="2"/>
    <x v="7"/>
    <x v="2391"/>
    <d v="2015-03-31T18:04:04"/>
    <x v="22"/>
    <x v="0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x v="0"/>
    <n v="0"/>
    <x v="1"/>
    <s v="technology/web"/>
    <n v="0"/>
    <n v="0"/>
    <x v="2"/>
    <x v="7"/>
    <x v="2392"/>
    <d v="2015-10-29T02:53:43"/>
    <x v="1"/>
    <x v="0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x v="0"/>
    <n v="1"/>
    <x v="1"/>
    <s v="technology/web"/>
    <n v="0"/>
    <n v="50"/>
    <x v="2"/>
    <x v="7"/>
    <x v="2393"/>
    <d v="2015-08-08T15:33:37"/>
    <x v="1"/>
    <x v="0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x v="0"/>
    <n v="2"/>
    <x v="1"/>
    <s v="technology/web"/>
    <n v="0"/>
    <n v="1.5"/>
    <x v="2"/>
    <x v="7"/>
    <x v="2394"/>
    <d v="2015-02-26T08:41:33"/>
    <x v="1"/>
    <x v="0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x v="0"/>
    <n v="0"/>
    <x v="1"/>
    <s v="technology/web"/>
    <n v="0"/>
    <n v="0"/>
    <x v="2"/>
    <x v="7"/>
    <x v="2395"/>
    <d v="2017-01-10T08:57:00"/>
    <x v="702"/>
    <x v="2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x v="0"/>
    <n v="1"/>
    <x v="1"/>
    <s v="technology/web"/>
    <n v="0"/>
    <n v="10"/>
    <x v="2"/>
    <x v="7"/>
    <x v="2396"/>
    <d v="2015-10-15T20:22:38"/>
    <x v="1"/>
    <x v="0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x v="0"/>
    <n v="0"/>
    <x v="1"/>
    <s v="technology/web"/>
    <n v="0"/>
    <n v="0"/>
    <x v="2"/>
    <x v="7"/>
    <x v="2397"/>
    <d v="2015-01-02T21:14:16"/>
    <x v="1"/>
    <x v="3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x v="0"/>
    <n v="0"/>
    <x v="1"/>
    <s v="technology/web"/>
    <n v="0"/>
    <n v="0"/>
    <x v="2"/>
    <x v="7"/>
    <x v="2398"/>
    <d v="2015-07-02T21:59:44"/>
    <x v="1"/>
    <x v="0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x v="0"/>
    <n v="0"/>
    <x v="1"/>
    <s v="technology/web"/>
    <n v="0"/>
    <n v="0"/>
    <x v="2"/>
    <x v="7"/>
    <x v="2399"/>
    <d v="2014-12-18T20:28:26"/>
    <x v="6"/>
    <x v="3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x v="0"/>
    <n v="0"/>
    <x v="1"/>
    <s v="technology/web"/>
    <n v="0"/>
    <n v="0"/>
    <x v="2"/>
    <x v="7"/>
    <x v="2400"/>
    <d v="2016-04-14T06:26:04"/>
    <x v="1"/>
    <x v="2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x v="0"/>
    <n v="9"/>
    <x v="1"/>
    <s v="food/food trucks"/>
    <n v="1"/>
    <n v="22.33"/>
    <x v="7"/>
    <x v="19"/>
    <x v="2401"/>
    <d v="2016-03-05T19:44:56"/>
    <x v="14"/>
    <x v="2"/>
  </r>
  <r>
    <x v="2402"/>
    <s v="Cupcake Truck Unite"/>
    <s v="Small town, delicious treats, and a mobile truck"/>
    <x v="14"/>
    <x v="401"/>
    <x v="2"/>
    <x v="0"/>
    <s v="USD"/>
    <n v="1431533931"/>
    <x v="2402"/>
    <x v="0"/>
    <n v="1"/>
    <x v="1"/>
    <s v="food/food trucks"/>
    <n v="0"/>
    <n v="52"/>
    <x v="7"/>
    <x v="19"/>
    <x v="2402"/>
    <d v="2015-05-13T16:18:51"/>
    <x v="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x v="0"/>
    <n v="12"/>
    <x v="1"/>
    <s v="food/food trucks"/>
    <n v="17"/>
    <n v="16.829999999999998"/>
    <x v="7"/>
    <x v="19"/>
    <x v="2403"/>
    <d v="2016-03-30T20:10:58"/>
    <x v="80"/>
    <x v="2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x v="0"/>
    <n v="0"/>
    <x v="1"/>
    <s v="food/food trucks"/>
    <n v="0"/>
    <n v="0"/>
    <x v="7"/>
    <x v="19"/>
    <x v="2404"/>
    <d v="2016-01-03T00:56:47"/>
    <x v="1"/>
    <x v="0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x v="0"/>
    <n v="20"/>
    <x v="1"/>
    <s v="food/food trucks"/>
    <n v="23"/>
    <n v="56.3"/>
    <x v="7"/>
    <x v="19"/>
    <x v="2405"/>
    <d v="2016-09-03T14:02:55"/>
    <x v="31"/>
    <x v="2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x v="0"/>
    <n v="16"/>
    <x v="1"/>
    <s v="food/food trucks"/>
    <n v="41"/>
    <n v="84.06"/>
    <x v="7"/>
    <x v="19"/>
    <x v="2406"/>
    <d v="2015-01-19T02:39:50"/>
    <x v="4"/>
    <x v="3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x v="0"/>
    <n v="33"/>
    <x v="1"/>
    <s v="food/food trucks"/>
    <n v="25"/>
    <n v="168.39"/>
    <x v="7"/>
    <x v="19"/>
    <x v="2407"/>
    <d v="2015-04-11T06:00:00"/>
    <x v="703"/>
    <x v="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x v="2408"/>
    <x v="0"/>
    <n v="2"/>
    <x v="1"/>
    <s v="food/food trucks"/>
    <n v="0"/>
    <n v="15"/>
    <x v="7"/>
    <x v="19"/>
    <x v="2408"/>
    <d v="2014-11-06T04:22:37"/>
    <x v="13"/>
    <x v="3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x v="0"/>
    <n v="6"/>
    <x v="1"/>
    <s v="food/food trucks"/>
    <n v="2"/>
    <n v="76.67"/>
    <x v="7"/>
    <x v="19"/>
    <x v="2409"/>
    <d v="2015-08-18T21:01:15"/>
    <x v="1"/>
    <x v="0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x v="0"/>
    <n v="0"/>
    <x v="1"/>
    <s v="food/food trucks"/>
    <n v="0"/>
    <n v="0"/>
    <x v="7"/>
    <x v="19"/>
    <x v="2410"/>
    <d v="2015-09-07T09:47:55"/>
    <x v="1"/>
    <x v="0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x v="0"/>
    <n v="3"/>
    <x v="1"/>
    <s v="food/food trucks"/>
    <n v="1"/>
    <n v="50.33"/>
    <x v="7"/>
    <x v="19"/>
    <x v="2411"/>
    <d v="2015-08-25T17:34:42"/>
    <x v="1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x v="0"/>
    <n v="0"/>
    <x v="1"/>
    <s v="food/food trucks"/>
    <n v="0"/>
    <n v="0"/>
    <x v="7"/>
    <x v="19"/>
    <x v="2412"/>
    <d v="2016-11-26T18:41:13"/>
    <x v="71"/>
    <x v="2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x v="0"/>
    <n v="3"/>
    <x v="1"/>
    <s v="food/food trucks"/>
    <n v="1"/>
    <n v="8.33"/>
    <x v="7"/>
    <x v="19"/>
    <x v="2413"/>
    <d v="2014-05-31T23:30:00"/>
    <x v="536"/>
    <x v="3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x v="0"/>
    <n v="13"/>
    <x v="1"/>
    <s v="food/food trucks"/>
    <n v="3"/>
    <n v="35.380000000000003"/>
    <x v="7"/>
    <x v="19"/>
    <x v="2414"/>
    <d v="2015-08-22T03:59:00"/>
    <x v="704"/>
    <x v="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x v="0"/>
    <n v="6"/>
    <x v="1"/>
    <s v="food/food trucks"/>
    <n v="1"/>
    <n v="55.83"/>
    <x v="7"/>
    <x v="19"/>
    <x v="2415"/>
    <d v="2016-07-15T20:42:26"/>
    <x v="1"/>
    <x v="2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x v="0"/>
    <n v="1"/>
    <x v="1"/>
    <s v="food/food trucks"/>
    <n v="0"/>
    <n v="5"/>
    <x v="7"/>
    <x v="19"/>
    <x v="2416"/>
    <d v="2015-03-14T15:00:00"/>
    <x v="705"/>
    <x v="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x v="0"/>
    <n v="0"/>
    <x v="1"/>
    <s v="food/food trucks"/>
    <n v="0"/>
    <n v="0"/>
    <x v="7"/>
    <x v="19"/>
    <x v="2417"/>
    <d v="2014-08-10T21:13:07"/>
    <x v="1"/>
    <x v="3"/>
  </r>
  <r>
    <x v="2418"/>
    <s v="Mexican food truck"/>
    <s v="I want to start my food truck business."/>
    <x v="31"/>
    <x v="139"/>
    <x v="2"/>
    <x v="0"/>
    <s v="USD"/>
    <n v="1427225644"/>
    <x v="2418"/>
    <x v="0"/>
    <n v="5"/>
    <x v="1"/>
    <s v="food/food trucks"/>
    <n v="0"/>
    <n v="1"/>
    <x v="7"/>
    <x v="19"/>
    <x v="2418"/>
    <d v="2015-03-24T19:34:04"/>
    <x v="80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x v="0"/>
    <n v="0"/>
    <x v="1"/>
    <s v="food/food trucks"/>
    <n v="0"/>
    <n v="0"/>
    <x v="7"/>
    <x v="19"/>
    <x v="2419"/>
    <d v="2015-02-18T17:43:09"/>
    <x v="14"/>
    <x v="3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x v="0"/>
    <n v="36"/>
    <x v="1"/>
    <s v="food/food trucks"/>
    <n v="15"/>
    <n v="69.47"/>
    <x v="7"/>
    <x v="19"/>
    <x v="2420"/>
    <d v="2014-11-10T01:41:35"/>
    <x v="27"/>
    <x v="3"/>
  </r>
  <r>
    <x v="2421"/>
    <s v="hot dog cart"/>
    <s v="help me start Merrill's first hot dog cart in this empty lot"/>
    <x v="12"/>
    <x v="116"/>
    <x v="2"/>
    <x v="0"/>
    <s v="USD"/>
    <n v="1424536196"/>
    <x v="2421"/>
    <x v="0"/>
    <n v="1"/>
    <x v="1"/>
    <s v="food/food trucks"/>
    <n v="0"/>
    <n v="1"/>
    <x v="7"/>
    <x v="19"/>
    <x v="2421"/>
    <d v="2015-02-21T16:29:56"/>
    <x v="1"/>
    <x v="0"/>
  </r>
  <r>
    <x v="2422"/>
    <s v="Help starting a family owned food truck"/>
    <s v="Family owned business serving BBQ and seafood to the public"/>
    <x v="2"/>
    <x v="116"/>
    <x v="2"/>
    <x v="0"/>
    <s v="USD"/>
    <n v="1426091036"/>
    <x v="2422"/>
    <x v="0"/>
    <n v="1"/>
    <x v="1"/>
    <s v="food/food trucks"/>
    <n v="0"/>
    <n v="1"/>
    <x v="7"/>
    <x v="19"/>
    <x v="2422"/>
    <d v="2015-03-11T16:23:56"/>
    <x v="22"/>
    <x v="0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x v="0"/>
    <n v="1"/>
    <x v="1"/>
    <s v="food/food trucks"/>
    <n v="0"/>
    <n v="8"/>
    <x v="7"/>
    <x v="19"/>
    <x v="2423"/>
    <d v="2014-12-31T16:54:50"/>
    <x v="1"/>
    <x v="3"/>
  </r>
  <r>
    <x v="2424"/>
    <s v="Lily and Memphs"/>
    <s v="Great and creative food from the heart in the form of a sweet food truck!"/>
    <x v="31"/>
    <x v="622"/>
    <x v="2"/>
    <x v="0"/>
    <s v="USD"/>
    <n v="1414445108"/>
    <x v="2424"/>
    <x v="0"/>
    <n v="9"/>
    <x v="1"/>
    <s v="food/food trucks"/>
    <n v="1"/>
    <n v="34.44"/>
    <x v="7"/>
    <x v="19"/>
    <x v="2424"/>
    <d v="2014-10-27T21:25:08"/>
    <x v="1"/>
    <x v="3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x v="0"/>
    <n v="1"/>
    <x v="1"/>
    <s v="food/food trucks"/>
    <n v="0"/>
    <n v="1"/>
    <x v="7"/>
    <x v="19"/>
    <x v="2425"/>
    <d v="2016-05-27T22:04:00"/>
    <x v="280"/>
    <x v="2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x v="0"/>
    <n v="0"/>
    <x v="1"/>
    <s v="food/food trucks"/>
    <n v="0"/>
    <n v="0"/>
    <x v="7"/>
    <x v="19"/>
    <x v="2426"/>
    <d v="2015-08-08T04:04:52"/>
    <x v="14"/>
    <x v="0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x v="0"/>
    <n v="1"/>
    <x v="1"/>
    <s v="food/food trucks"/>
    <n v="0"/>
    <n v="1"/>
    <x v="7"/>
    <x v="19"/>
    <x v="2427"/>
    <d v="2016-03-23T06:38:53"/>
    <x v="136"/>
    <x v="2"/>
  </r>
  <r>
    <x v="2428"/>
    <s v="Premium Burgers"/>
    <s v="From Moo 2 You! We want to offer premium burgers to a taco flooded environment."/>
    <x v="19"/>
    <x v="116"/>
    <x v="2"/>
    <x v="0"/>
    <s v="USD"/>
    <n v="1426182551"/>
    <x v="2428"/>
    <x v="0"/>
    <n v="1"/>
    <x v="1"/>
    <s v="food/food trucks"/>
    <n v="0"/>
    <n v="1"/>
    <x v="7"/>
    <x v="19"/>
    <x v="2428"/>
    <d v="2015-03-12T17:49:11"/>
    <x v="22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x v="0"/>
    <n v="4"/>
    <x v="1"/>
    <s v="food/food trucks"/>
    <n v="1"/>
    <n v="501.25"/>
    <x v="7"/>
    <x v="19"/>
    <x v="2429"/>
    <d v="2017-02-05T16:44:00"/>
    <x v="532"/>
    <x v="2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x v="0"/>
    <n v="2"/>
    <x v="1"/>
    <s v="food/food trucks"/>
    <n v="1"/>
    <n v="10.5"/>
    <x v="7"/>
    <x v="19"/>
    <x v="2430"/>
    <d v="2016-02-12T03:08:24"/>
    <x v="1"/>
    <x v="2"/>
  </r>
  <r>
    <x v="2431"/>
    <s v="Murphy's good eatin'"/>
    <s v="Go to Colorado and run a food truck with homemade food of all kinds."/>
    <x v="57"/>
    <x v="369"/>
    <x v="2"/>
    <x v="0"/>
    <s v="USD"/>
    <n v="1467080613"/>
    <x v="2431"/>
    <x v="0"/>
    <n v="2"/>
    <x v="1"/>
    <s v="food/food trucks"/>
    <n v="0"/>
    <n v="1"/>
    <x v="7"/>
    <x v="19"/>
    <x v="2431"/>
    <d v="2016-06-28T02:23:33"/>
    <x v="14"/>
    <x v="2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x v="0"/>
    <n v="2"/>
    <x v="1"/>
    <s v="food/food trucks"/>
    <n v="0"/>
    <n v="1"/>
    <x v="7"/>
    <x v="19"/>
    <x v="2432"/>
    <d v="2015-03-08T05:14:57"/>
    <x v="1"/>
    <x v="0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x v="0"/>
    <n v="0"/>
    <x v="1"/>
    <s v="food/food trucks"/>
    <n v="0"/>
    <n v="0"/>
    <x v="7"/>
    <x v="19"/>
    <x v="2433"/>
    <d v="2016-02-27T21:35:43"/>
    <x v="1"/>
    <x v="2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x v="0"/>
    <n v="2"/>
    <x v="1"/>
    <s v="food/food trucks"/>
    <n v="0"/>
    <n v="13"/>
    <x v="7"/>
    <x v="19"/>
    <x v="2434"/>
    <d v="2015-08-04T04:27:54"/>
    <x v="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x v="0"/>
    <n v="4"/>
    <x v="1"/>
    <s v="food/food trucks"/>
    <n v="0"/>
    <n v="306"/>
    <x v="7"/>
    <x v="19"/>
    <x v="2435"/>
    <d v="2015-10-05T06:39:46"/>
    <x v="1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x v="0"/>
    <n v="2"/>
    <x v="1"/>
    <s v="food/food trucks"/>
    <n v="0"/>
    <n v="22.5"/>
    <x v="7"/>
    <x v="19"/>
    <x v="2436"/>
    <d v="2016-01-29T14:46:10"/>
    <x v="14"/>
    <x v="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x v="0"/>
    <n v="0"/>
    <x v="1"/>
    <s v="food/food trucks"/>
    <n v="0"/>
    <n v="0"/>
    <x v="7"/>
    <x v="19"/>
    <x v="2437"/>
    <d v="2015-03-17T18:00:00"/>
    <x v="706"/>
    <x v="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x v="0"/>
    <n v="1"/>
    <x v="1"/>
    <s v="food/food trucks"/>
    <n v="0"/>
    <n v="50"/>
    <x v="7"/>
    <x v="19"/>
    <x v="2438"/>
    <d v="2015-12-07T22:57:42"/>
    <x v="27"/>
    <x v="0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x v="0"/>
    <n v="0"/>
    <x v="1"/>
    <s v="food/food trucks"/>
    <n v="0"/>
    <n v="0"/>
    <x v="7"/>
    <x v="19"/>
    <x v="2439"/>
    <d v="2015-10-18T19:38:49"/>
    <x v="1"/>
    <x v="0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x v="0"/>
    <n v="2"/>
    <x v="1"/>
    <s v="food/food trucks"/>
    <n v="0"/>
    <n v="5"/>
    <x v="7"/>
    <x v="19"/>
    <x v="2440"/>
    <d v="2016-02-13T21:35:13"/>
    <x v="1"/>
    <x v="2"/>
  </r>
  <r>
    <x v="2441"/>
    <s v="Bring Alchemy Pops to the People!"/>
    <s v="YOU can help Alchemy Pops POP up on a street near you!"/>
    <x v="51"/>
    <x v="1678"/>
    <x v="0"/>
    <x v="0"/>
    <s v="USD"/>
    <n v="1437627540"/>
    <x v="2441"/>
    <x v="0"/>
    <n v="109"/>
    <x v="0"/>
    <s v="food/small batch"/>
    <n v="108"/>
    <n v="74.23"/>
    <x v="7"/>
    <x v="33"/>
    <x v="2441"/>
    <d v="2015-07-23T04:59:00"/>
    <x v="707"/>
    <x v="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x v="0"/>
    <n v="372"/>
    <x v="0"/>
    <s v="food/small batch"/>
    <n v="126"/>
    <n v="81.25"/>
    <x v="7"/>
    <x v="33"/>
    <x v="2442"/>
    <d v="2015-03-19T15:00:28"/>
    <x v="22"/>
    <x v="0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x v="0"/>
    <n v="311"/>
    <x v="0"/>
    <s v="food/small batch"/>
    <n v="203"/>
    <n v="130.22999999999999"/>
    <x v="7"/>
    <x v="33"/>
    <x v="2443"/>
    <d v="2014-08-15T15:00:22"/>
    <x v="1"/>
    <x v="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x v="0"/>
    <n v="61"/>
    <x v="0"/>
    <s v="food/small batch"/>
    <n v="109"/>
    <n v="53.41"/>
    <x v="7"/>
    <x v="33"/>
    <x v="2444"/>
    <d v="2016-05-25T18:06:31"/>
    <x v="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x v="0"/>
    <n v="115"/>
    <x v="0"/>
    <s v="food/small batch"/>
    <n v="173"/>
    <n v="75.13"/>
    <x v="7"/>
    <x v="33"/>
    <x v="2445"/>
    <d v="2015-09-26T04:33:41"/>
    <x v="1"/>
    <x v="0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x v="0"/>
    <n v="111"/>
    <x v="0"/>
    <s v="food/small batch"/>
    <n v="168"/>
    <n v="75.67"/>
    <x v="7"/>
    <x v="33"/>
    <x v="2446"/>
    <d v="2016-11-26T15:27:51"/>
    <x v="13"/>
    <x v="2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x v="0"/>
    <n v="337"/>
    <x v="0"/>
    <s v="food/small batch"/>
    <n v="427"/>
    <n v="31.69"/>
    <x v="7"/>
    <x v="33"/>
    <x v="2447"/>
    <d v="2016-11-12T04:00:00"/>
    <x v="708"/>
    <x v="2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x v="0"/>
    <n v="9"/>
    <x v="0"/>
    <s v="food/small batch"/>
    <n v="108"/>
    <n v="47.78"/>
    <x v="7"/>
    <x v="33"/>
    <x v="2448"/>
    <d v="2016-08-31T05:36:00"/>
    <x v="709"/>
    <x v="2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x v="0"/>
    <n v="120"/>
    <x v="0"/>
    <s v="food/small batch"/>
    <n v="108"/>
    <n v="90"/>
    <x v="7"/>
    <x v="33"/>
    <x v="2449"/>
    <d v="2014-11-30T04:25:15"/>
    <x v="13"/>
    <x v="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x v="0"/>
    <n v="102"/>
    <x v="0"/>
    <s v="food/small batch"/>
    <n v="102"/>
    <n v="149.31"/>
    <x v="7"/>
    <x v="33"/>
    <x v="2450"/>
    <d v="2014-10-28T03:11:00"/>
    <x v="493"/>
    <x v="3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x v="0"/>
    <n v="186"/>
    <x v="0"/>
    <s v="food/small batch"/>
    <n v="115"/>
    <n v="62.07"/>
    <x v="7"/>
    <x v="33"/>
    <x v="2451"/>
    <d v="2017-03-05T21:48:10"/>
    <x v="51"/>
    <x v="1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x v="0"/>
    <n v="15"/>
    <x v="0"/>
    <s v="food/small batch"/>
    <n v="134"/>
    <n v="53.4"/>
    <x v="7"/>
    <x v="33"/>
    <x v="2452"/>
    <d v="2015-12-29T23:00:00"/>
    <x v="207"/>
    <x v="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x v="0"/>
    <n v="67"/>
    <x v="0"/>
    <s v="food/small batch"/>
    <n v="155"/>
    <n v="69.27"/>
    <x v="7"/>
    <x v="33"/>
    <x v="2453"/>
    <d v="2017-02-02T16:36:49"/>
    <x v="1"/>
    <x v="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x v="0"/>
    <n v="130"/>
    <x v="0"/>
    <s v="food/small batch"/>
    <n v="101"/>
    <n v="271.51"/>
    <x v="7"/>
    <x v="33"/>
    <x v="2454"/>
    <d v="2017-03-11T04:50:08"/>
    <x v="6"/>
    <x v="1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x v="0"/>
    <n v="16"/>
    <x v="0"/>
    <s v="food/small batch"/>
    <n v="182"/>
    <n v="34.130000000000003"/>
    <x v="7"/>
    <x v="33"/>
    <x v="2455"/>
    <d v="2016-04-20T18:45:50"/>
    <x v="240"/>
    <x v="2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x v="0"/>
    <n v="67"/>
    <x v="0"/>
    <s v="food/small batch"/>
    <n v="181"/>
    <n v="40.49"/>
    <x v="7"/>
    <x v="33"/>
    <x v="2456"/>
    <d v="2017-02-25T23:03:59"/>
    <x v="1"/>
    <x v="1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x v="0"/>
    <n v="124"/>
    <x v="0"/>
    <s v="food/small batch"/>
    <n v="102"/>
    <n v="189.76"/>
    <x v="7"/>
    <x v="33"/>
    <x v="2457"/>
    <d v="2016-03-24T13:27:36"/>
    <x v="22"/>
    <x v="2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x v="0"/>
    <n v="80"/>
    <x v="0"/>
    <s v="food/small batch"/>
    <n v="110"/>
    <n v="68.86"/>
    <x v="7"/>
    <x v="33"/>
    <x v="2458"/>
    <d v="2016-06-09T19:00:00"/>
    <x v="710"/>
    <x v="2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x v="0"/>
    <n v="282"/>
    <x v="0"/>
    <s v="food/small batch"/>
    <n v="102"/>
    <n v="108.78"/>
    <x v="7"/>
    <x v="33"/>
    <x v="2459"/>
    <d v="2016-03-23T14:18:05"/>
    <x v="129"/>
    <x v="2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x v="0"/>
    <n v="68"/>
    <x v="0"/>
    <s v="food/small batch"/>
    <n v="101"/>
    <n v="125.99"/>
    <x v="7"/>
    <x v="33"/>
    <x v="2460"/>
    <d v="2017-01-03T04:17:00"/>
    <x v="711"/>
    <x v="2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x v="0"/>
    <n v="86"/>
    <x v="0"/>
    <s v="music/indie rock"/>
    <n v="104"/>
    <n v="90.52"/>
    <x v="4"/>
    <x v="14"/>
    <x v="2461"/>
    <d v="2011-10-01T03:00:00"/>
    <x v="277"/>
    <x v="6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x v="0"/>
    <n v="115"/>
    <x v="0"/>
    <s v="music/indie rock"/>
    <n v="111"/>
    <n v="28.88"/>
    <x v="4"/>
    <x v="14"/>
    <x v="2462"/>
    <d v="2012-07-19T04:28:16"/>
    <x v="51"/>
    <x v="5"/>
  </r>
  <r>
    <x v="2463"/>
    <s v="Emma Ate the Lion &quot;Songs Two Count Too&quot;"/>
    <s v="Emma Ate The Lion's debut full length album"/>
    <x v="13"/>
    <x v="66"/>
    <x v="0"/>
    <x v="0"/>
    <s v="USD"/>
    <n v="1366138800"/>
    <x v="2463"/>
    <x v="0"/>
    <n v="75"/>
    <x v="0"/>
    <s v="music/indie rock"/>
    <n v="116"/>
    <n v="31"/>
    <x v="4"/>
    <x v="14"/>
    <x v="2463"/>
    <d v="2013-04-16T19:00:00"/>
    <x v="712"/>
    <x v="4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x v="0"/>
    <n v="43"/>
    <x v="0"/>
    <s v="music/indie rock"/>
    <n v="111"/>
    <n v="51.67"/>
    <x v="4"/>
    <x v="14"/>
    <x v="2464"/>
    <d v="2015-09-30T19:29:00"/>
    <x v="713"/>
    <x v="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x v="0"/>
    <n v="48"/>
    <x v="0"/>
    <s v="music/indie rock"/>
    <n v="180"/>
    <n v="26.27"/>
    <x v="4"/>
    <x v="14"/>
    <x v="2465"/>
    <d v="2012-09-23T17:15:48"/>
    <x v="1"/>
    <x v="5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x v="0"/>
    <n v="52"/>
    <x v="0"/>
    <s v="music/indie rock"/>
    <n v="100"/>
    <n v="48.08"/>
    <x v="4"/>
    <x v="14"/>
    <x v="2466"/>
    <d v="2013-05-09T02:27:33"/>
    <x v="1"/>
    <x v="4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x v="0"/>
    <n v="43"/>
    <x v="0"/>
    <s v="music/indie rock"/>
    <n v="119"/>
    <n v="27.56"/>
    <x v="4"/>
    <x v="14"/>
    <x v="2467"/>
    <d v="2012-05-10T17:00:00"/>
    <x v="714"/>
    <x v="5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x v="0"/>
    <n v="58"/>
    <x v="0"/>
    <s v="music/indie rock"/>
    <n v="107"/>
    <n v="36.97"/>
    <x v="4"/>
    <x v="14"/>
    <x v="2468"/>
    <d v="2012-10-28T05:00:00"/>
    <x v="286"/>
    <x v="5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x v="0"/>
    <n v="47"/>
    <x v="0"/>
    <s v="music/indie rock"/>
    <n v="114"/>
    <n v="29.02"/>
    <x v="4"/>
    <x v="14"/>
    <x v="2469"/>
    <d v="2011-02-08T10:18:49"/>
    <x v="36"/>
    <x v="6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x v="0"/>
    <n v="36"/>
    <x v="0"/>
    <s v="music/indie rock"/>
    <n v="103"/>
    <n v="28.66"/>
    <x v="4"/>
    <x v="14"/>
    <x v="2470"/>
    <d v="2012-05-24T01:47:35"/>
    <x v="1"/>
    <x v="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x v="0"/>
    <n v="17"/>
    <x v="0"/>
    <s v="music/indie rock"/>
    <n v="128"/>
    <n v="37.65"/>
    <x v="4"/>
    <x v="14"/>
    <x v="2471"/>
    <d v="2012-01-25T23:49:52"/>
    <x v="4"/>
    <x v="6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x v="0"/>
    <n v="104"/>
    <x v="0"/>
    <s v="music/indie rock"/>
    <n v="136"/>
    <n v="97.9"/>
    <x v="4"/>
    <x v="14"/>
    <x v="2472"/>
    <d v="2010-09-04T01:03:00"/>
    <x v="715"/>
    <x v="7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x v="0"/>
    <n v="47"/>
    <x v="0"/>
    <s v="music/indie rock"/>
    <n v="100"/>
    <n v="42.55"/>
    <x v="4"/>
    <x v="14"/>
    <x v="2473"/>
    <d v="2012-11-10T18:57:49"/>
    <x v="13"/>
    <x v="5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x v="0"/>
    <n v="38"/>
    <x v="0"/>
    <s v="music/indie rock"/>
    <n v="100"/>
    <n v="131.58000000000001"/>
    <x v="4"/>
    <x v="14"/>
    <x v="2474"/>
    <d v="2010-10-11T00:16:16"/>
    <x v="26"/>
    <x v="7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x v="0"/>
    <n v="81"/>
    <x v="0"/>
    <s v="music/indie rock"/>
    <n v="105"/>
    <n v="32.32"/>
    <x v="4"/>
    <x v="14"/>
    <x v="2475"/>
    <d v="2010-07-10T22:00:00"/>
    <x v="544"/>
    <x v="7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x v="0"/>
    <n v="55"/>
    <x v="0"/>
    <s v="music/indie rock"/>
    <n v="105"/>
    <n v="61.1"/>
    <x v="4"/>
    <x v="14"/>
    <x v="2476"/>
    <d v="2014-11-03T08:52:50"/>
    <x v="190"/>
    <x v="3"/>
  </r>
  <r>
    <x v="2477"/>
    <s v="Debut Album"/>
    <s v="Releasing my first album in August, and I need your help in order to get it done!"/>
    <x v="47"/>
    <x v="1707"/>
    <x v="0"/>
    <x v="0"/>
    <s v="USD"/>
    <n v="1344789345"/>
    <x v="2477"/>
    <x v="0"/>
    <n v="41"/>
    <x v="0"/>
    <s v="music/indie rock"/>
    <n v="171"/>
    <n v="31.34"/>
    <x v="4"/>
    <x v="14"/>
    <x v="2477"/>
    <d v="2012-08-12T16:35:45"/>
    <x v="26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x v="0"/>
    <n v="79"/>
    <x v="0"/>
    <s v="music/indie rock"/>
    <n v="128"/>
    <n v="129.11000000000001"/>
    <x v="4"/>
    <x v="14"/>
    <x v="2478"/>
    <d v="2013-01-13T22:48:33"/>
    <x v="1"/>
    <x v="5"/>
  </r>
  <r>
    <x v="2479"/>
    <s v="FUEL FAKE NATIVES"/>
    <s v="Fake Natives is headed on tour this summer. Help them fill their tank with fossil fuels."/>
    <x v="43"/>
    <x v="1709"/>
    <x v="0"/>
    <x v="0"/>
    <s v="USD"/>
    <n v="1343440800"/>
    <x v="2479"/>
    <x v="0"/>
    <n v="16"/>
    <x v="0"/>
    <s v="music/indie rock"/>
    <n v="133"/>
    <n v="25.02"/>
    <x v="4"/>
    <x v="14"/>
    <x v="2479"/>
    <d v="2012-07-28T02:00:00"/>
    <x v="716"/>
    <x v="5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x v="0"/>
    <n v="8"/>
    <x v="0"/>
    <s v="music/indie rock"/>
    <n v="100"/>
    <n v="250"/>
    <x v="4"/>
    <x v="14"/>
    <x v="2480"/>
    <d v="2015-10-10T22:28:04"/>
    <x v="14"/>
    <x v="0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x v="0"/>
    <n v="95"/>
    <x v="0"/>
    <s v="music/indie rock"/>
    <n v="113"/>
    <n v="47.54"/>
    <x v="4"/>
    <x v="14"/>
    <x v="2481"/>
    <d v="2012-04-30T15:30:08"/>
    <x v="1"/>
    <x v="5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x v="0"/>
    <n v="25"/>
    <x v="0"/>
    <s v="music/indie rock"/>
    <n v="100"/>
    <n v="40.04"/>
    <x v="4"/>
    <x v="14"/>
    <x v="2482"/>
    <d v="2011-08-01T18:46:23"/>
    <x v="26"/>
    <x v="6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x v="0"/>
    <n v="19"/>
    <x v="0"/>
    <s v="music/indie rock"/>
    <n v="114"/>
    <n v="65.84"/>
    <x v="4"/>
    <x v="14"/>
    <x v="2483"/>
    <d v="2012-05-01T17:00:03"/>
    <x v="80"/>
    <x v="5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x v="0"/>
    <n v="90"/>
    <x v="0"/>
    <s v="music/indie rock"/>
    <n v="119"/>
    <n v="46.4"/>
    <x v="4"/>
    <x v="14"/>
    <x v="2484"/>
    <d v="2011-09-15T22:00:03"/>
    <x v="1"/>
    <x v="6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x v="0"/>
    <n v="41"/>
    <x v="0"/>
    <s v="music/indie rock"/>
    <n v="103"/>
    <n v="50.37"/>
    <x v="4"/>
    <x v="14"/>
    <x v="2485"/>
    <d v="2011-10-12T23:57:59"/>
    <x v="6"/>
    <x v="6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x v="0"/>
    <n v="30"/>
    <x v="0"/>
    <s v="music/indie rock"/>
    <n v="266"/>
    <n v="26.57"/>
    <x v="4"/>
    <x v="14"/>
    <x v="2486"/>
    <d v="2012-04-22T16:59:36"/>
    <x v="1"/>
    <x v="5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x v="0"/>
    <n v="38"/>
    <x v="0"/>
    <s v="music/indie rock"/>
    <n v="100"/>
    <n v="39.49"/>
    <x v="4"/>
    <x v="14"/>
    <x v="2487"/>
    <d v="2012-05-27T01:59:57"/>
    <x v="1"/>
    <x v="5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x v="0"/>
    <n v="65"/>
    <x v="0"/>
    <s v="music/indie rock"/>
    <n v="107"/>
    <n v="49.25"/>
    <x v="4"/>
    <x v="14"/>
    <x v="2488"/>
    <d v="2011-11-16T16:11:48"/>
    <x v="13"/>
    <x v="6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x v="0"/>
    <n v="75"/>
    <x v="0"/>
    <s v="music/indie rock"/>
    <n v="134"/>
    <n v="62.38"/>
    <x v="4"/>
    <x v="14"/>
    <x v="2489"/>
    <d v="2013-05-09T16:33:59"/>
    <x v="1"/>
    <x v="4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x v="0"/>
    <n v="16"/>
    <x v="0"/>
    <s v="music/indie rock"/>
    <n v="121"/>
    <n v="37.94"/>
    <x v="4"/>
    <x v="14"/>
    <x v="2490"/>
    <d v="2012-06-23T05:27:56"/>
    <x v="14"/>
    <x v="5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x v="0"/>
    <n v="10"/>
    <x v="0"/>
    <s v="music/indie rock"/>
    <n v="103"/>
    <n v="51.6"/>
    <x v="4"/>
    <x v="14"/>
    <x v="2491"/>
    <d v="2011-01-16T01:51:00"/>
    <x v="717"/>
    <x v="7"/>
  </r>
  <r>
    <x v="2492"/>
    <s v="SUPER NICE EP 2012"/>
    <s v="We're a band from Hawaii trying to produce our first EP and we need help!"/>
    <x v="20"/>
    <x v="661"/>
    <x v="0"/>
    <x v="0"/>
    <s v="USD"/>
    <n v="1339840740"/>
    <x v="2492"/>
    <x v="0"/>
    <n v="27"/>
    <x v="0"/>
    <s v="music/indie rock"/>
    <n v="125"/>
    <n v="27.78"/>
    <x v="4"/>
    <x v="14"/>
    <x v="2492"/>
    <d v="2012-06-16T09:59:00"/>
    <x v="718"/>
    <x v="5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x v="0"/>
    <n v="259"/>
    <x v="0"/>
    <s v="music/indie rock"/>
    <n v="129"/>
    <n v="99.38"/>
    <x v="4"/>
    <x v="14"/>
    <x v="2493"/>
    <d v="2013-04-29T04:02:20"/>
    <x v="26"/>
    <x v="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x v="0"/>
    <n v="39"/>
    <x v="0"/>
    <s v="music/indie rock"/>
    <n v="101"/>
    <n v="38.85"/>
    <x v="4"/>
    <x v="14"/>
    <x v="2494"/>
    <d v="2012-05-23T15:29:04"/>
    <x v="1"/>
    <x v="5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x v="0"/>
    <n v="42"/>
    <x v="0"/>
    <s v="music/indie rock"/>
    <n v="128"/>
    <n v="45.55"/>
    <x v="4"/>
    <x v="14"/>
    <x v="2495"/>
    <d v="2012-06-06T22:42:55"/>
    <x v="1"/>
    <x v="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x v="0"/>
    <n v="10"/>
    <x v="0"/>
    <s v="music/indie rock"/>
    <n v="100"/>
    <n v="600"/>
    <x v="4"/>
    <x v="14"/>
    <x v="2496"/>
    <d v="2013-03-29T22:54:52"/>
    <x v="89"/>
    <x v="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x v="0"/>
    <n v="56"/>
    <x v="0"/>
    <s v="music/indie rock"/>
    <n v="113"/>
    <n v="80.55"/>
    <x v="4"/>
    <x v="14"/>
    <x v="2497"/>
    <d v="2011-08-05T21:05:38"/>
    <x v="1"/>
    <x v="6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x v="0"/>
    <n v="20"/>
    <x v="0"/>
    <s v="music/indie rock"/>
    <n v="106"/>
    <n v="52.8"/>
    <x v="4"/>
    <x v="14"/>
    <x v="2498"/>
    <d v="2015-01-27T23:13:07"/>
    <x v="59"/>
    <x v="0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x v="0"/>
    <n v="170"/>
    <x v="0"/>
    <s v="music/indie rock"/>
    <n v="203"/>
    <n v="47.68"/>
    <x v="4"/>
    <x v="14"/>
    <x v="2499"/>
    <d v="2012-12-31T18:00:00"/>
    <x v="719"/>
    <x v="5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x v="0"/>
    <n v="29"/>
    <x v="0"/>
    <s v="music/indie rock"/>
    <n v="113"/>
    <n v="23.45"/>
    <x v="4"/>
    <x v="14"/>
    <x v="2500"/>
    <d v="2012-06-23T18:32:55"/>
    <x v="1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x v="0"/>
    <n v="7"/>
    <x v="1"/>
    <s v="food/restaurants"/>
    <n v="3"/>
    <n v="40.14"/>
    <x v="7"/>
    <x v="34"/>
    <x v="2501"/>
    <d v="2015-09-27T18:38:24"/>
    <x v="1"/>
    <x v="0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x v="0"/>
    <n v="5"/>
    <x v="1"/>
    <s v="food/restaurants"/>
    <n v="0"/>
    <n v="17.2"/>
    <x v="7"/>
    <x v="34"/>
    <x v="2502"/>
    <d v="2014-09-21T19:48:38"/>
    <x v="26"/>
    <x v="3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x v="0"/>
    <n v="0"/>
    <x v="1"/>
    <s v="food/restaurants"/>
    <n v="0"/>
    <n v="0"/>
    <x v="7"/>
    <x v="34"/>
    <x v="2503"/>
    <d v="2016-06-07T21:06:00"/>
    <x v="533"/>
    <x v="2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x v="0"/>
    <n v="0"/>
    <x v="1"/>
    <s v="food/restaurants"/>
    <n v="0"/>
    <n v="0"/>
    <x v="7"/>
    <x v="34"/>
    <x v="2504"/>
    <d v="2014-11-15T01:22:14"/>
    <x v="13"/>
    <x v="3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x v="0"/>
    <n v="0"/>
    <x v="1"/>
    <s v="food/restaurants"/>
    <n v="0"/>
    <n v="0"/>
    <x v="7"/>
    <x v="34"/>
    <x v="2505"/>
    <d v="2015-03-14T00:20:16"/>
    <x v="22"/>
    <x v="0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x v="0"/>
    <n v="2"/>
    <x v="1"/>
    <s v="food/restaurants"/>
    <n v="1"/>
    <n v="15"/>
    <x v="7"/>
    <x v="34"/>
    <x v="2506"/>
    <d v="2015-10-03T21:00:00"/>
    <x v="720"/>
    <x v="0"/>
  </r>
  <r>
    <x v="2507"/>
    <s v="Help Cafe Talavera get a New Kitchen!"/>
    <s v="Unique dishes for a unique city!."/>
    <x v="350"/>
    <x v="117"/>
    <x v="2"/>
    <x v="0"/>
    <s v="USD"/>
    <n v="1431308704"/>
    <x v="2507"/>
    <x v="0"/>
    <n v="0"/>
    <x v="1"/>
    <s v="food/restaurants"/>
    <n v="0"/>
    <n v="0"/>
    <x v="7"/>
    <x v="34"/>
    <x v="2507"/>
    <d v="2015-05-11T01:45:04"/>
    <x v="1"/>
    <x v="0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x v="0"/>
    <n v="0"/>
    <x v="1"/>
    <s v="food/restaurants"/>
    <n v="0"/>
    <n v="0"/>
    <x v="7"/>
    <x v="34"/>
    <x v="2508"/>
    <d v="2014-08-14T22:50:34"/>
    <x v="1"/>
    <x v="3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x v="0"/>
    <n v="28"/>
    <x v="1"/>
    <s v="food/restaurants"/>
    <n v="1"/>
    <n v="35.71"/>
    <x v="7"/>
    <x v="34"/>
    <x v="2509"/>
    <d v="2015-04-20T18:25:49"/>
    <x v="721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x v="0"/>
    <n v="2"/>
    <x v="1"/>
    <s v="food/restaurants"/>
    <n v="0"/>
    <n v="37.5"/>
    <x v="7"/>
    <x v="34"/>
    <x v="2510"/>
    <d v="2015-05-14T23:56:12"/>
    <x v="14"/>
    <x v="0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x v="0"/>
    <n v="0"/>
    <x v="1"/>
    <s v="food/restaurants"/>
    <n v="0"/>
    <n v="0"/>
    <x v="7"/>
    <x v="34"/>
    <x v="2511"/>
    <d v="2016-02-01T10:43:33"/>
    <x v="1"/>
    <x v="2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x v="0"/>
    <n v="0"/>
    <x v="1"/>
    <s v="food/restaurants"/>
    <n v="0"/>
    <n v="0"/>
    <x v="7"/>
    <x v="34"/>
    <x v="2512"/>
    <d v="2014-12-13T21:02:41"/>
    <x v="20"/>
    <x v="3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x v="0"/>
    <n v="0"/>
    <x v="1"/>
    <s v="food/restaurants"/>
    <n v="0"/>
    <n v="0"/>
    <x v="7"/>
    <x v="34"/>
    <x v="2513"/>
    <d v="2017-02-26T00:09:49"/>
    <x v="14"/>
    <x v="2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x v="0"/>
    <n v="4"/>
    <x v="1"/>
    <s v="food/restaurants"/>
    <n v="2"/>
    <n v="52.5"/>
    <x v="7"/>
    <x v="34"/>
    <x v="2514"/>
    <d v="2014-08-20T09:21:17"/>
    <x v="549"/>
    <x v="3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x v="0"/>
    <n v="12"/>
    <x v="1"/>
    <s v="food/restaurants"/>
    <n v="19"/>
    <n v="77.5"/>
    <x v="7"/>
    <x v="34"/>
    <x v="2515"/>
    <d v="2015-02-22T20:09:13"/>
    <x v="1"/>
    <x v="0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x v="0"/>
    <n v="0"/>
    <x v="1"/>
    <s v="food/restaurants"/>
    <n v="0"/>
    <n v="0"/>
    <x v="7"/>
    <x v="34"/>
    <x v="2516"/>
    <d v="2014-11-29T16:40:52"/>
    <x v="13"/>
    <x v="3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x v="0"/>
    <n v="33"/>
    <x v="1"/>
    <s v="food/restaurants"/>
    <n v="10"/>
    <n v="53.55"/>
    <x v="7"/>
    <x v="34"/>
    <x v="2517"/>
    <d v="2015-03-19T18:15:30"/>
    <x v="22"/>
    <x v="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x v="0"/>
    <n v="0"/>
    <x v="1"/>
    <s v="food/restaurants"/>
    <n v="0"/>
    <n v="0"/>
    <x v="7"/>
    <x v="34"/>
    <x v="2518"/>
    <d v="2014-11-13T17:20:28"/>
    <x v="13"/>
    <x v="3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x v="2519"/>
    <x v="0"/>
    <n v="4"/>
    <x v="1"/>
    <s v="food/restaurants"/>
    <n v="0"/>
    <n v="16.25"/>
    <x v="7"/>
    <x v="34"/>
    <x v="2519"/>
    <d v="2014-07-19T03:43:24"/>
    <x v="1"/>
    <x v="3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x v="0"/>
    <n v="0"/>
    <x v="1"/>
    <s v="food/restaurants"/>
    <n v="0"/>
    <n v="0"/>
    <x v="7"/>
    <x v="34"/>
    <x v="2520"/>
    <d v="2016-10-15T19:21:00"/>
    <x v="722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x v="0"/>
    <n v="132"/>
    <x v="0"/>
    <s v="music/classical music"/>
    <n v="109"/>
    <n v="103.68"/>
    <x v="4"/>
    <x v="35"/>
    <x v="2521"/>
    <d v="2015-10-13T23:13:41"/>
    <x v="3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x v="0"/>
    <n v="27"/>
    <x v="0"/>
    <s v="music/classical music"/>
    <n v="100"/>
    <n v="185.19"/>
    <x v="4"/>
    <x v="35"/>
    <x v="2522"/>
    <d v="2016-04-22T14:52:00"/>
    <x v="723"/>
    <x v="2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x v="0"/>
    <n v="26"/>
    <x v="0"/>
    <s v="music/classical music"/>
    <n v="156"/>
    <n v="54.15"/>
    <x v="4"/>
    <x v="35"/>
    <x v="2523"/>
    <d v="2014-11-18T00:24:52"/>
    <x v="13"/>
    <x v="3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x v="0"/>
    <n v="43"/>
    <x v="0"/>
    <s v="music/classical music"/>
    <n v="102"/>
    <n v="177.21"/>
    <x v="4"/>
    <x v="35"/>
    <x v="2524"/>
    <d v="2014-12-21T04:30:00"/>
    <x v="297"/>
    <x v="3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x v="0"/>
    <n v="80"/>
    <x v="0"/>
    <s v="music/classical music"/>
    <n v="100"/>
    <n v="100.33"/>
    <x v="4"/>
    <x v="35"/>
    <x v="2525"/>
    <d v="2012-06-28T20:16:11"/>
    <x v="1"/>
    <x v="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x v="0"/>
    <n v="33"/>
    <x v="0"/>
    <s v="music/classical music"/>
    <n v="113"/>
    <n v="136.91"/>
    <x v="4"/>
    <x v="35"/>
    <x v="2526"/>
    <d v="2014-12-08T04:59:00"/>
    <x v="666"/>
    <x v="3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x v="0"/>
    <n v="71"/>
    <x v="0"/>
    <s v="music/classical music"/>
    <n v="102"/>
    <n v="57.54"/>
    <x v="4"/>
    <x v="35"/>
    <x v="2527"/>
    <d v="2013-10-18T03:59:00"/>
    <x v="724"/>
    <x v="4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x v="0"/>
    <n v="81"/>
    <x v="0"/>
    <s v="music/classical music"/>
    <n v="107"/>
    <n v="52.96"/>
    <x v="4"/>
    <x v="35"/>
    <x v="2528"/>
    <d v="2015-08-20T11:00:00"/>
    <x v="725"/>
    <x v="0"/>
  </r>
  <r>
    <x v="2529"/>
    <s v="UrbanArias is DC's Contemporary Opera Company"/>
    <s v="Opera. Short. New."/>
    <x v="12"/>
    <x v="1736"/>
    <x v="0"/>
    <x v="0"/>
    <s v="USD"/>
    <n v="1332636975"/>
    <x v="2529"/>
    <x v="0"/>
    <n v="76"/>
    <x v="0"/>
    <s v="music/classical music"/>
    <n v="104"/>
    <n v="82.33"/>
    <x v="4"/>
    <x v="35"/>
    <x v="2529"/>
    <d v="2012-03-25T00:56:15"/>
    <x v="129"/>
    <x v="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x v="0"/>
    <n v="48"/>
    <x v="0"/>
    <s v="music/classical music"/>
    <n v="100"/>
    <n v="135.41999999999999"/>
    <x v="4"/>
    <x v="35"/>
    <x v="2530"/>
    <d v="2015-04-20T04:50:00"/>
    <x v="378"/>
    <x v="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x v="0"/>
    <n v="61"/>
    <x v="0"/>
    <s v="music/classical music"/>
    <n v="100"/>
    <n v="74.069999999999993"/>
    <x v="4"/>
    <x v="35"/>
    <x v="2531"/>
    <d v="2015-08-15T03:59:00"/>
    <x v="726"/>
    <x v="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x v="0"/>
    <n v="60"/>
    <x v="0"/>
    <s v="music/classical music"/>
    <n v="126"/>
    <n v="84.08"/>
    <x v="4"/>
    <x v="35"/>
    <x v="2532"/>
    <d v="2012-08-16T20:22:46"/>
    <x v="1"/>
    <x v="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x v="0"/>
    <n v="136"/>
    <x v="0"/>
    <s v="music/classical music"/>
    <n v="111"/>
    <n v="61.03"/>
    <x v="4"/>
    <x v="35"/>
    <x v="2533"/>
    <d v="2013-03-01T18:01:08"/>
    <x v="1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x v="0"/>
    <n v="14"/>
    <x v="0"/>
    <s v="music/classical music"/>
    <n v="105"/>
    <n v="150"/>
    <x v="4"/>
    <x v="35"/>
    <x v="2534"/>
    <d v="2010-01-01T06:00:00"/>
    <x v="727"/>
    <x v="8"/>
  </r>
  <r>
    <x v="2535"/>
    <s v="Mark Hayes Requiem Recording"/>
    <s v="Mark Hayes: Requiem Recording"/>
    <x v="22"/>
    <x v="1741"/>
    <x v="0"/>
    <x v="0"/>
    <s v="USD"/>
    <n v="1417463945"/>
    <x v="2535"/>
    <x v="0"/>
    <n v="78"/>
    <x v="0"/>
    <s v="music/classical music"/>
    <n v="104"/>
    <n v="266.08999999999997"/>
    <x v="4"/>
    <x v="35"/>
    <x v="2535"/>
    <d v="2014-12-01T19:59:05"/>
    <x v="160"/>
    <x v="3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x v="0"/>
    <n v="4"/>
    <x v="0"/>
    <s v="music/classical music"/>
    <n v="116"/>
    <n v="7.25"/>
    <x v="4"/>
    <x v="35"/>
    <x v="2536"/>
    <d v="2013-07-30T02:32:46"/>
    <x v="31"/>
    <x v="4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x v="0"/>
    <n v="11"/>
    <x v="0"/>
    <s v="music/classical music"/>
    <n v="110"/>
    <n v="100"/>
    <x v="4"/>
    <x v="35"/>
    <x v="2537"/>
    <d v="2011-08-01T15:34:15"/>
    <x v="14"/>
    <x v="6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x v="2538"/>
    <x v="0"/>
    <n v="185"/>
    <x v="0"/>
    <s v="music/classical music"/>
    <n v="113"/>
    <n v="109.96"/>
    <x v="4"/>
    <x v="35"/>
    <x v="2538"/>
    <d v="2013-02-24T04:59:00"/>
    <x v="728"/>
    <x v="4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x v="0"/>
    <n v="59"/>
    <x v="0"/>
    <s v="music/classical music"/>
    <n v="100"/>
    <n v="169.92"/>
    <x v="4"/>
    <x v="35"/>
    <x v="2539"/>
    <d v="2015-02-02T21:39:12"/>
    <x v="14"/>
    <x v="3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x v="0"/>
    <n v="27"/>
    <x v="0"/>
    <s v="music/classical music"/>
    <n v="103"/>
    <n v="95.74"/>
    <x v="4"/>
    <x v="35"/>
    <x v="2540"/>
    <d v="2011-10-29T16:12:01"/>
    <x v="14"/>
    <x v="6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x v="0"/>
    <n v="63"/>
    <x v="0"/>
    <s v="music/classical music"/>
    <n v="107"/>
    <n v="59.46"/>
    <x v="4"/>
    <x v="35"/>
    <x v="2541"/>
    <d v="2013-09-26T10:46:58"/>
    <x v="14"/>
    <x v="4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x v="0"/>
    <n v="13"/>
    <x v="0"/>
    <s v="music/classical music"/>
    <n v="104"/>
    <n v="55.77"/>
    <x v="4"/>
    <x v="35"/>
    <x v="2542"/>
    <d v="2013-10-01T03:59:00"/>
    <x v="729"/>
    <x v="4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x v="0"/>
    <n v="13"/>
    <x v="0"/>
    <s v="music/classical music"/>
    <n v="156"/>
    <n v="30.08"/>
    <x v="4"/>
    <x v="35"/>
    <x v="2543"/>
    <d v="2011-01-02T03:00:00"/>
    <x v="730"/>
    <x v="7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x v="0"/>
    <n v="57"/>
    <x v="0"/>
    <s v="music/classical music"/>
    <n v="101"/>
    <n v="88.44"/>
    <x v="4"/>
    <x v="35"/>
    <x v="2544"/>
    <d v="2012-07-08T12:29:29"/>
    <x v="1"/>
    <x v="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x v="0"/>
    <n v="61"/>
    <x v="0"/>
    <s v="music/classical music"/>
    <n v="195"/>
    <n v="64.03"/>
    <x v="4"/>
    <x v="35"/>
    <x v="2545"/>
    <d v="2015-02-27T00:30:00"/>
    <x v="416"/>
    <x v="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x v="0"/>
    <n v="65"/>
    <x v="0"/>
    <s v="music/classical music"/>
    <n v="112"/>
    <n v="60.15"/>
    <x v="4"/>
    <x v="35"/>
    <x v="2546"/>
    <d v="2013-10-05T05:00:00"/>
    <x v="601"/>
    <x v="4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x v="0"/>
    <n v="134"/>
    <x v="0"/>
    <s v="music/classical music"/>
    <n v="120"/>
    <n v="49.19"/>
    <x v="4"/>
    <x v="35"/>
    <x v="2547"/>
    <d v="2012-04-04T17:33:23"/>
    <x v="22"/>
    <x v="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x v="0"/>
    <n v="37"/>
    <x v="0"/>
    <s v="music/classical music"/>
    <n v="102"/>
    <n v="165.16"/>
    <x v="4"/>
    <x v="35"/>
    <x v="2548"/>
    <d v="2016-09-30T04:27:00"/>
    <x v="731"/>
    <x v="2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x v="0"/>
    <n v="37"/>
    <x v="0"/>
    <s v="music/classical music"/>
    <n v="103"/>
    <n v="43.62"/>
    <x v="4"/>
    <x v="35"/>
    <x v="2549"/>
    <d v="2013-05-31T17:00:00"/>
    <x v="732"/>
    <x v="4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x v="0"/>
    <n v="150"/>
    <x v="0"/>
    <s v="music/classical music"/>
    <n v="101"/>
    <n v="43.7"/>
    <x v="4"/>
    <x v="35"/>
    <x v="2550"/>
    <d v="2015-10-08T03:59:00"/>
    <x v="733"/>
    <x v="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x v="0"/>
    <n v="56"/>
    <x v="0"/>
    <s v="music/classical music"/>
    <n v="103"/>
    <n v="67.42"/>
    <x v="4"/>
    <x v="35"/>
    <x v="2551"/>
    <d v="2012-03-21T20:48:00"/>
    <x v="734"/>
    <x v="5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x v="0"/>
    <n v="18"/>
    <x v="0"/>
    <s v="music/classical music"/>
    <n v="107"/>
    <n v="177.5"/>
    <x v="4"/>
    <x v="35"/>
    <x v="2552"/>
    <d v="2017-03-05T19:26:21"/>
    <x v="1"/>
    <x v="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x v="0"/>
    <n v="60"/>
    <x v="0"/>
    <s v="music/classical music"/>
    <n v="156"/>
    <n v="38.880000000000003"/>
    <x v="4"/>
    <x v="35"/>
    <x v="2553"/>
    <d v="2012-09-21T04:46:47"/>
    <x v="14"/>
    <x v="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x v="0"/>
    <n v="67"/>
    <x v="0"/>
    <s v="music/classical music"/>
    <n v="123"/>
    <n v="54.99"/>
    <x v="4"/>
    <x v="35"/>
    <x v="2554"/>
    <d v="2015-06-01T03:59:00"/>
    <x v="735"/>
    <x v="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x v="0"/>
    <n v="35"/>
    <x v="0"/>
    <s v="music/classical music"/>
    <n v="107"/>
    <n v="61.34"/>
    <x v="4"/>
    <x v="35"/>
    <x v="2555"/>
    <d v="2012-05-28T15:43:13"/>
    <x v="102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x v="0"/>
    <n v="34"/>
    <x v="0"/>
    <s v="music/classical music"/>
    <n v="106"/>
    <n v="23.12"/>
    <x v="4"/>
    <x v="35"/>
    <x v="2556"/>
    <d v="2012-12-24T23:47:37"/>
    <x v="26"/>
    <x v="5"/>
  </r>
  <r>
    <x v="2557"/>
    <s v="European Tour"/>
    <s v="Raising money for our concert tour of Switzerland and Germany in June/July 2014"/>
    <x v="42"/>
    <x v="1761"/>
    <x v="0"/>
    <x v="1"/>
    <s v="GBP"/>
    <n v="1400176386"/>
    <x v="2557"/>
    <x v="0"/>
    <n v="36"/>
    <x v="0"/>
    <s v="music/classical music"/>
    <n v="118"/>
    <n v="29.61"/>
    <x v="4"/>
    <x v="35"/>
    <x v="2557"/>
    <d v="2014-05-15T17:53:06"/>
    <x v="1"/>
    <x v="3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x v="0"/>
    <n v="18"/>
    <x v="0"/>
    <s v="music/classical music"/>
    <n v="109"/>
    <n v="75.61"/>
    <x v="4"/>
    <x v="35"/>
    <x v="2558"/>
    <d v="2015-05-01T13:59:00"/>
    <x v="736"/>
    <x v="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x v="0"/>
    <n v="25"/>
    <x v="0"/>
    <s v="music/classical music"/>
    <n v="111"/>
    <n v="35.6"/>
    <x v="4"/>
    <x v="35"/>
    <x v="2559"/>
    <d v="2011-11-15T19:37:00"/>
    <x v="737"/>
    <x v="6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x v="0"/>
    <n v="21"/>
    <x v="0"/>
    <s v="music/classical music"/>
    <n v="100"/>
    <n v="143"/>
    <x v="4"/>
    <x v="35"/>
    <x v="2560"/>
    <d v="2015-03-06T22:49:34"/>
    <x v="1"/>
    <x v="0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x v="0"/>
    <n v="0"/>
    <x v="1"/>
    <s v="food/food trucks"/>
    <n v="0"/>
    <n v="0"/>
    <x v="7"/>
    <x v="19"/>
    <x v="2561"/>
    <d v="2015-10-13T12:41:29"/>
    <x v="1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x v="0"/>
    <n v="3"/>
    <x v="1"/>
    <s v="food/food trucks"/>
    <n v="1"/>
    <n v="25"/>
    <x v="7"/>
    <x v="19"/>
    <x v="2562"/>
    <d v="2016-10-11T12:35:39"/>
    <x v="14"/>
    <x v="2"/>
  </r>
  <r>
    <x v="2563"/>
    <s v="Phoenix Pearl Boba Tea Truck (Canceled)"/>
    <s v="Michigan based bubble tea and specialty ice cream food truck"/>
    <x v="22"/>
    <x v="117"/>
    <x v="1"/>
    <x v="0"/>
    <s v="USD"/>
    <n v="1438226451"/>
    <x v="2563"/>
    <x v="0"/>
    <n v="0"/>
    <x v="1"/>
    <s v="food/food trucks"/>
    <n v="0"/>
    <n v="0"/>
    <x v="7"/>
    <x v="19"/>
    <x v="2563"/>
    <d v="2015-07-30T03:20:51"/>
    <x v="14"/>
    <x v="0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x v="0"/>
    <n v="0"/>
    <x v="1"/>
    <s v="food/food trucks"/>
    <n v="0"/>
    <n v="0"/>
    <x v="7"/>
    <x v="19"/>
    <x v="2564"/>
    <d v="2014-08-01T00:58:19"/>
    <x v="1"/>
    <x v="3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x v="0"/>
    <n v="1"/>
    <x v="1"/>
    <s v="food/food trucks"/>
    <n v="1"/>
    <n v="100"/>
    <x v="7"/>
    <x v="19"/>
    <x v="2565"/>
    <d v="2016-05-09T20:50:00"/>
    <x v="738"/>
    <x v="2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x v="0"/>
    <n v="0"/>
    <x v="1"/>
    <s v="food/food trucks"/>
    <n v="0"/>
    <n v="0"/>
    <x v="7"/>
    <x v="19"/>
    <x v="2566"/>
    <d v="2014-08-21T23:32:28"/>
    <x v="1"/>
    <x v="3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x v="0"/>
    <n v="2"/>
    <x v="1"/>
    <s v="food/food trucks"/>
    <n v="0"/>
    <n v="60"/>
    <x v="7"/>
    <x v="19"/>
    <x v="2567"/>
    <d v="2015-04-23T21:05:38"/>
    <x v="1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x v="0"/>
    <n v="1"/>
    <x v="1"/>
    <s v="food/food trucks"/>
    <n v="1"/>
    <n v="50"/>
    <x v="7"/>
    <x v="19"/>
    <x v="2568"/>
    <d v="2016-09-01T15:59:54"/>
    <x v="1"/>
    <x v="2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x v="0"/>
    <n v="2"/>
    <x v="1"/>
    <s v="food/food trucks"/>
    <n v="2"/>
    <n v="72.5"/>
    <x v="7"/>
    <x v="19"/>
    <x v="2569"/>
    <d v="2015-09-17T02:31:52"/>
    <x v="1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x v="0"/>
    <n v="2"/>
    <x v="1"/>
    <s v="food/food trucks"/>
    <n v="1"/>
    <n v="29.5"/>
    <x v="7"/>
    <x v="19"/>
    <x v="2570"/>
    <d v="2017-02-08T21:40:35"/>
    <x v="1"/>
    <x v="1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x v="0"/>
    <n v="4"/>
    <x v="1"/>
    <s v="food/food trucks"/>
    <n v="0"/>
    <n v="62.5"/>
    <x v="7"/>
    <x v="19"/>
    <x v="2571"/>
    <d v="2016-05-19T08:12:01"/>
    <x v="14"/>
    <x v="2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x v="0"/>
    <n v="0"/>
    <x v="1"/>
    <s v="food/food trucks"/>
    <n v="0"/>
    <n v="0"/>
    <x v="7"/>
    <x v="19"/>
    <x v="2572"/>
    <d v="2015-04-13T02:51:57"/>
    <x v="1"/>
    <x v="0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x v="0"/>
    <n v="0"/>
    <x v="1"/>
    <s v="food/food trucks"/>
    <n v="0"/>
    <n v="0"/>
    <x v="7"/>
    <x v="19"/>
    <x v="2573"/>
    <d v="2014-08-23T14:12:29"/>
    <x v="26"/>
    <x v="3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x v="0"/>
    <n v="0"/>
    <x v="1"/>
    <s v="food/food trucks"/>
    <n v="0"/>
    <n v="0"/>
    <x v="7"/>
    <x v="19"/>
    <x v="2574"/>
    <d v="2016-05-18T19:49:05"/>
    <x v="31"/>
    <x v="2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x v="0"/>
    <n v="0"/>
    <x v="1"/>
    <s v="food/food trucks"/>
    <n v="0"/>
    <n v="0"/>
    <x v="7"/>
    <x v="19"/>
    <x v="2575"/>
    <d v="2015-01-12T02:36:34"/>
    <x v="1"/>
    <x v="3"/>
  </r>
  <r>
    <x v="2576"/>
    <s v="2 Go Fast Food (Canceled)"/>
    <s v="A New Twist with an American and Philippine fast food Mobile Trailer."/>
    <x v="3"/>
    <x v="117"/>
    <x v="1"/>
    <x v="0"/>
    <s v="USD"/>
    <n v="1428707647"/>
    <x v="2576"/>
    <x v="0"/>
    <n v="0"/>
    <x v="1"/>
    <s v="food/food trucks"/>
    <n v="0"/>
    <n v="0"/>
    <x v="7"/>
    <x v="19"/>
    <x v="2576"/>
    <d v="2015-04-10T23:14:07"/>
    <x v="129"/>
    <x v="0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x v="0"/>
    <n v="0"/>
    <x v="1"/>
    <s v="food/food trucks"/>
    <n v="0"/>
    <n v="0"/>
    <x v="7"/>
    <x v="19"/>
    <x v="2577"/>
    <d v="2014-08-04T19:41:37"/>
    <x v="36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x v="0"/>
    <n v="0"/>
    <x v="1"/>
    <s v="food/food trucks"/>
    <n v="0"/>
    <n v="0"/>
    <x v="7"/>
    <x v="19"/>
    <x v="2578"/>
    <d v="2015-10-09T17:00:00"/>
    <x v="739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x v="0"/>
    <n v="12"/>
    <x v="1"/>
    <s v="food/food trucks"/>
    <n v="0"/>
    <n v="23.08"/>
    <x v="7"/>
    <x v="19"/>
    <x v="2579"/>
    <d v="2014-09-15T19:55:03"/>
    <x v="14"/>
    <x v="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x v="0"/>
    <n v="2"/>
    <x v="1"/>
    <s v="food/food trucks"/>
    <n v="1"/>
    <n v="25.5"/>
    <x v="7"/>
    <x v="19"/>
    <x v="2580"/>
    <d v="2015-05-16T03:00:00"/>
    <x v="73"/>
    <x v="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x v="0"/>
    <n v="11"/>
    <x v="1"/>
    <s v="food/food trucks"/>
    <n v="11"/>
    <n v="48.18"/>
    <x v="7"/>
    <x v="19"/>
    <x v="2581"/>
    <d v="2015-11-16T16:04:58"/>
    <x v="13"/>
    <x v="0"/>
  </r>
  <r>
    <x v="2582"/>
    <s v="Drunken Wings"/>
    <s v="The place where chicken meets liquor for the first time!"/>
    <x v="161"/>
    <x v="116"/>
    <x v="2"/>
    <x v="0"/>
    <s v="USD"/>
    <n v="1477784634"/>
    <x v="2582"/>
    <x v="0"/>
    <n v="1"/>
    <x v="1"/>
    <s v="food/food trucks"/>
    <n v="0"/>
    <n v="1"/>
    <x v="7"/>
    <x v="19"/>
    <x v="2582"/>
    <d v="2016-10-29T23:43:54"/>
    <x v="1"/>
    <x v="2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x v="0"/>
    <n v="5"/>
    <x v="1"/>
    <s v="food/food trucks"/>
    <n v="1"/>
    <n v="1"/>
    <x v="7"/>
    <x v="19"/>
    <x v="2583"/>
    <d v="2015-03-16T17:28:00"/>
    <x v="80"/>
    <x v="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x v="0"/>
    <n v="0"/>
    <x v="1"/>
    <s v="food/food trucks"/>
    <n v="0"/>
    <n v="0"/>
    <x v="7"/>
    <x v="19"/>
    <x v="2584"/>
    <d v="2015-06-15T04:09:29"/>
    <x v="1"/>
    <x v="0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x v="0"/>
    <n v="1"/>
    <x v="1"/>
    <s v="food/food trucks"/>
    <n v="0"/>
    <n v="50"/>
    <x v="7"/>
    <x v="19"/>
    <x v="2585"/>
    <d v="2014-07-05T23:07:12"/>
    <x v="1"/>
    <x v="3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x v="2586"/>
    <x v="0"/>
    <n v="1"/>
    <x v="1"/>
    <s v="food/food trucks"/>
    <n v="0"/>
    <n v="5"/>
    <x v="7"/>
    <x v="19"/>
    <x v="2586"/>
    <d v="2015-12-25T07:55:36"/>
    <x v="1"/>
    <x v="0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x v="0"/>
    <n v="6"/>
    <x v="1"/>
    <s v="food/food trucks"/>
    <n v="2"/>
    <n v="202.83"/>
    <x v="7"/>
    <x v="19"/>
    <x v="2587"/>
    <d v="2015-12-30T16:12:33"/>
    <x v="1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x v="0"/>
    <n v="8"/>
    <x v="1"/>
    <s v="food/food trucks"/>
    <n v="4"/>
    <n v="29.13"/>
    <x v="7"/>
    <x v="19"/>
    <x v="2588"/>
    <d v="2015-03-31T13:14:00"/>
    <x v="740"/>
    <x v="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x v="0"/>
    <n v="1"/>
    <x v="1"/>
    <s v="food/food trucks"/>
    <n v="0"/>
    <n v="5"/>
    <x v="7"/>
    <x v="19"/>
    <x v="2589"/>
    <d v="2016-03-23T11:52:07"/>
    <x v="22"/>
    <x v="2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x v="0"/>
    <n v="0"/>
    <x v="1"/>
    <s v="food/food trucks"/>
    <n v="0"/>
    <n v="0"/>
    <x v="7"/>
    <x v="19"/>
    <x v="2590"/>
    <d v="2016-01-26T14:08:17"/>
    <x v="354"/>
    <x v="2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x v="0"/>
    <n v="2"/>
    <x v="1"/>
    <s v="food/food trucks"/>
    <n v="2"/>
    <n v="13"/>
    <x v="7"/>
    <x v="19"/>
    <x v="2591"/>
    <d v="2016-03-13T20:45:24"/>
    <x v="80"/>
    <x v="2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x v="0"/>
    <n v="1"/>
    <x v="1"/>
    <s v="food/food trucks"/>
    <n v="0"/>
    <n v="50"/>
    <x v="7"/>
    <x v="19"/>
    <x v="2592"/>
    <d v="2014-10-05T19:13:41"/>
    <x v="1"/>
    <x v="3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x v="0"/>
    <n v="0"/>
    <x v="1"/>
    <s v="food/food trucks"/>
    <n v="0"/>
    <n v="0"/>
    <x v="7"/>
    <x v="19"/>
    <x v="2593"/>
    <d v="2015-04-25T20:17:06"/>
    <x v="1"/>
    <x v="0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x v="0"/>
    <n v="1"/>
    <x v="1"/>
    <s v="food/food trucks"/>
    <n v="0"/>
    <n v="1"/>
    <x v="7"/>
    <x v="19"/>
    <x v="2594"/>
    <d v="2014-08-07T23:13:48"/>
    <x v="1"/>
    <x v="3"/>
  </r>
  <r>
    <x v="2595"/>
    <s v="Food Truck for Little Fox Bakery"/>
    <s v="Looking to put the best baked goods in Bowling Green on wheels"/>
    <x v="36"/>
    <x v="1767"/>
    <x v="2"/>
    <x v="0"/>
    <s v="USD"/>
    <n v="1487915500"/>
    <x v="2595"/>
    <x v="0"/>
    <n v="19"/>
    <x v="1"/>
    <s v="food/food trucks"/>
    <n v="12"/>
    <n v="96.05"/>
    <x v="7"/>
    <x v="19"/>
    <x v="2595"/>
    <d v="2017-02-24T05:51:40"/>
    <x v="1"/>
    <x v="1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x v="0"/>
    <n v="27"/>
    <x v="1"/>
    <s v="food/food trucks"/>
    <n v="24"/>
    <n v="305.77999999999997"/>
    <x v="7"/>
    <x v="19"/>
    <x v="2596"/>
    <d v="2014-08-07T15:56:49"/>
    <x v="1"/>
    <x v="3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x v="0"/>
    <n v="7"/>
    <x v="1"/>
    <s v="food/food trucks"/>
    <n v="6"/>
    <n v="12.14"/>
    <x v="7"/>
    <x v="19"/>
    <x v="2597"/>
    <d v="2016-06-19T08:11:57"/>
    <x v="1"/>
    <x v="2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x v="0"/>
    <n v="14"/>
    <x v="1"/>
    <s v="food/food trucks"/>
    <n v="39"/>
    <n v="83.57"/>
    <x v="7"/>
    <x v="19"/>
    <x v="2598"/>
    <d v="2015-09-23T20:10:01"/>
    <x v="1"/>
    <x v="0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x v="0"/>
    <n v="5"/>
    <x v="1"/>
    <s v="food/food trucks"/>
    <n v="1"/>
    <n v="18"/>
    <x v="7"/>
    <x v="19"/>
    <x v="2599"/>
    <d v="2014-08-03T18:05:47"/>
    <x v="26"/>
    <x v="3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x v="0"/>
    <n v="30"/>
    <x v="1"/>
    <s v="food/food trucks"/>
    <n v="7"/>
    <n v="115.53"/>
    <x v="7"/>
    <x v="19"/>
    <x v="2600"/>
    <d v="2016-03-25T20:36:40"/>
    <x v="80"/>
    <x v="2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x v="1"/>
    <n v="151"/>
    <x v="0"/>
    <s v="technology/space exploration"/>
    <n v="661"/>
    <n v="21.9"/>
    <x v="2"/>
    <x v="36"/>
    <x v="2601"/>
    <d v="2012-09-13T03:59:00"/>
    <x v="741"/>
    <x v="5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x v="1"/>
    <n v="489"/>
    <x v="0"/>
    <s v="technology/space exploration"/>
    <n v="326"/>
    <n v="80.02"/>
    <x v="2"/>
    <x v="36"/>
    <x v="2602"/>
    <d v="2014-11-12T21:20:00"/>
    <x v="742"/>
    <x v="3"/>
  </r>
  <r>
    <x v="2603"/>
    <s v="Manned Mock Mars Mission"/>
    <s v="I will be building a mock space station and simulate living on Mars for two weeks."/>
    <x v="257"/>
    <x v="702"/>
    <x v="0"/>
    <x v="0"/>
    <s v="USD"/>
    <n v="1387835654"/>
    <x v="2603"/>
    <x v="1"/>
    <n v="50"/>
    <x v="0"/>
    <s v="technology/space exploration"/>
    <n v="101"/>
    <n v="35.520000000000003"/>
    <x v="2"/>
    <x v="36"/>
    <x v="2603"/>
    <d v="2013-12-23T21:54:14"/>
    <x v="59"/>
    <x v="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x v="1"/>
    <n v="321"/>
    <x v="0"/>
    <s v="technology/space exploration"/>
    <n v="104"/>
    <n v="64.930000000000007"/>
    <x v="2"/>
    <x v="36"/>
    <x v="2604"/>
    <d v="2012-04-29T01:13:43"/>
    <x v="1"/>
    <x v="5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x v="1"/>
    <n v="1762"/>
    <x v="0"/>
    <s v="technology/space exploration"/>
    <n v="107"/>
    <n v="60.97"/>
    <x v="2"/>
    <x v="36"/>
    <x v="2605"/>
    <d v="2016-06-17T12:59:50"/>
    <x v="1"/>
    <x v="2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x v="1"/>
    <n v="385"/>
    <x v="0"/>
    <s v="technology/space exploration"/>
    <n v="110"/>
    <n v="31.44"/>
    <x v="2"/>
    <x v="36"/>
    <x v="2606"/>
    <d v="2014-04-29T17:06:22"/>
    <x v="114"/>
    <x v="3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x v="1"/>
    <n v="398"/>
    <x v="0"/>
    <s v="technology/space exploration"/>
    <n v="408"/>
    <n v="81.95"/>
    <x v="2"/>
    <x v="36"/>
    <x v="2607"/>
    <d v="2015-08-12T02:00:00"/>
    <x v="743"/>
    <x v="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x v="1"/>
    <n v="304"/>
    <x v="0"/>
    <s v="technology/space exploration"/>
    <n v="224"/>
    <n v="58.93"/>
    <x v="2"/>
    <x v="36"/>
    <x v="2608"/>
    <d v="2017-03-15T00:00:00"/>
    <x v="488"/>
    <x v="1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x v="1"/>
    <n v="676"/>
    <x v="0"/>
    <s v="technology/space exploration"/>
    <n v="304"/>
    <n v="157.29"/>
    <x v="2"/>
    <x v="36"/>
    <x v="2609"/>
    <d v="2012-07-15T05:42:31"/>
    <x v="1"/>
    <x v="5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x v="1"/>
    <n v="577"/>
    <x v="0"/>
    <s v="technology/space exploration"/>
    <n v="141"/>
    <n v="55.76"/>
    <x v="2"/>
    <x v="36"/>
    <x v="2610"/>
    <d v="2016-08-22T06:59:00"/>
    <x v="744"/>
    <x v="2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x v="1"/>
    <n v="3663"/>
    <x v="0"/>
    <s v="technology/space exploration"/>
    <n v="2791"/>
    <n v="83.8"/>
    <x v="2"/>
    <x v="36"/>
    <x v="2611"/>
    <d v="2017-01-02T22:59:00"/>
    <x v="553"/>
    <x v="2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x v="1"/>
    <n v="294"/>
    <x v="0"/>
    <s v="technology/space exploration"/>
    <n v="172"/>
    <n v="58.42"/>
    <x v="2"/>
    <x v="36"/>
    <x v="2612"/>
    <d v="2015-01-09T03:26:10"/>
    <x v="102"/>
    <x v="3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x v="1"/>
    <n v="28"/>
    <x v="0"/>
    <s v="technology/space exploration"/>
    <n v="101"/>
    <n v="270.57"/>
    <x v="2"/>
    <x v="36"/>
    <x v="2613"/>
    <d v="2012-09-21T19:38:14"/>
    <x v="1"/>
    <x v="5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x v="1"/>
    <n v="100"/>
    <x v="0"/>
    <s v="technology/space exploration"/>
    <n v="102"/>
    <n v="107.1"/>
    <x v="2"/>
    <x v="36"/>
    <x v="2614"/>
    <d v="2014-04-30T05:00:00"/>
    <x v="745"/>
    <x v="3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x v="0"/>
    <n v="72"/>
    <x v="0"/>
    <s v="technology/space exploration"/>
    <n v="170"/>
    <n v="47.18"/>
    <x v="2"/>
    <x v="36"/>
    <x v="2615"/>
    <d v="2016-04-30T12:00:00"/>
    <x v="127"/>
    <x v="2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x v="1"/>
    <n v="238"/>
    <x v="0"/>
    <s v="technology/space exploration"/>
    <n v="115"/>
    <n v="120.31"/>
    <x v="2"/>
    <x v="36"/>
    <x v="2616"/>
    <d v="2015-08-25T23:52:09"/>
    <x v="1"/>
    <x v="0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x v="1"/>
    <n v="159"/>
    <x v="0"/>
    <s v="technology/space exploration"/>
    <n v="878"/>
    <n v="27.6"/>
    <x v="2"/>
    <x v="36"/>
    <x v="2617"/>
    <d v="2014-10-20T20:59:11"/>
    <x v="1"/>
    <x v="3"/>
  </r>
  <r>
    <x v="2618"/>
    <s v="SPACE ART FEATURING ASTRONAUTS #WeBelieveInAstronauts"/>
    <s v="LTD ED COLLECTIBLE SPACE ART FEAT. ASTRONAUTS"/>
    <x v="36"/>
    <x v="1786"/>
    <x v="0"/>
    <x v="0"/>
    <s v="USD"/>
    <n v="1449000061"/>
    <x v="2618"/>
    <x v="1"/>
    <n v="77"/>
    <x v="0"/>
    <s v="technology/space exploration"/>
    <n v="105"/>
    <n v="205.3"/>
    <x v="2"/>
    <x v="36"/>
    <x v="2618"/>
    <d v="2015-12-01T20:01:01"/>
    <x v="27"/>
    <x v="0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x v="1"/>
    <n v="53"/>
    <x v="0"/>
    <s v="technology/space exploration"/>
    <n v="188"/>
    <n v="35.549999999999997"/>
    <x v="2"/>
    <x v="36"/>
    <x v="2619"/>
    <d v="2015-10-23T11:00:00"/>
    <x v="746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x v="1"/>
    <n v="1251"/>
    <x v="0"/>
    <s v="technology/space exploration"/>
    <n v="144"/>
    <n v="74.64"/>
    <x v="2"/>
    <x v="36"/>
    <x v="2620"/>
    <d v="2015-10-11T01:00:00"/>
    <x v="747"/>
    <x v="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x v="1"/>
    <n v="465"/>
    <x v="0"/>
    <s v="technology/space exploration"/>
    <n v="146"/>
    <n v="47.06"/>
    <x v="2"/>
    <x v="36"/>
    <x v="2621"/>
    <d v="2015-05-21T17:56:28"/>
    <x v="1"/>
    <x v="0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x v="0"/>
    <n v="74"/>
    <x v="0"/>
    <s v="technology/space exploration"/>
    <n v="131"/>
    <n v="26.59"/>
    <x v="2"/>
    <x v="36"/>
    <x v="2622"/>
    <d v="2016-12-30T17:50:16"/>
    <x v="26"/>
    <x v="2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x v="0"/>
    <n v="62"/>
    <x v="0"/>
    <s v="technology/space exploration"/>
    <n v="114"/>
    <n v="36.770000000000003"/>
    <x v="2"/>
    <x v="36"/>
    <x v="2623"/>
    <d v="2016-12-02T06:09:26"/>
    <x v="59"/>
    <x v="2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x v="0"/>
    <n v="3468"/>
    <x v="0"/>
    <s v="technology/space exploration"/>
    <n v="1379"/>
    <n v="31.82"/>
    <x v="2"/>
    <x v="36"/>
    <x v="2624"/>
    <d v="2012-09-13T10:07:02"/>
    <x v="31"/>
    <x v="5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x v="0"/>
    <n v="52"/>
    <x v="0"/>
    <s v="technology/space exploration"/>
    <n v="956"/>
    <n v="27.58"/>
    <x v="2"/>
    <x v="36"/>
    <x v="2625"/>
    <d v="2016-11-09T20:26:48"/>
    <x v="574"/>
    <x v="2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x v="0"/>
    <n v="50"/>
    <x v="0"/>
    <s v="technology/space exploration"/>
    <n v="112"/>
    <n v="56"/>
    <x v="2"/>
    <x v="36"/>
    <x v="2626"/>
    <d v="2015-06-03T15:04:29"/>
    <x v="1"/>
    <x v="0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x v="0"/>
    <n v="45"/>
    <x v="0"/>
    <s v="technology/space exploration"/>
    <n v="647"/>
    <n v="21.56"/>
    <x v="2"/>
    <x v="36"/>
    <x v="2627"/>
    <d v="2015-11-26T20:54:21"/>
    <x v="13"/>
    <x v="0"/>
  </r>
  <r>
    <x v="2628"/>
    <s v="Pie In Space!"/>
    <s v="A high school freshman is sending pie into space and you can be a part of it.  GO SCIENCE!!!"/>
    <x v="357"/>
    <x v="1796"/>
    <x v="0"/>
    <x v="0"/>
    <s v="USD"/>
    <n v="1417389067"/>
    <x v="2628"/>
    <x v="0"/>
    <n v="21"/>
    <x v="0"/>
    <s v="technology/space exploration"/>
    <n v="110"/>
    <n v="44.1"/>
    <x v="2"/>
    <x v="36"/>
    <x v="2628"/>
    <d v="2014-11-30T23:11:07"/>
    <x v="51"/>
    <x v="3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x v="0"/>
    <n v="100"/>
    <x v="0"/>
    <s v="technology/space exploration"/>
    <n v="128"/>
    <n v="63.87"/>
    <x v="2"/>
    <x v="36"/>
    <x v="2629"/>
    <d v="2015-05-14T12:55:22"/>
    <x v="1"/>
    <x v="0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x v="0"/>
    <n v="81"/>
    <x v="0"/>
    <s v="technology/space exploration"/>
    <n v="158"/>
    <n v="38.99"/>
    <x v="2"/>
    <x v="36"/>
    <x v="2630"/>
    <d v="2016-06-30T10:00:00"/>
    <x v="748"/>
    <x v="2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x v="0"/>
    <n v="286"/>
    <x v="0"/>
    <s v="technology/space exploration"/>
    <n v="115"/>
    <n v="80.19"/>
    <x v="2"/>
    <x v="36"/>
    <x v="2631"/>
    <d v="2015-08-30T04:03:47"/>
    <x v="240"/>
    <x v="0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x v="0"/>
    <n v="42"/>
    <x v="0"/>
    <s v="technology/space exploration"/>
    <n v="137"/>
    <n v="34.9"/>
    <x v="2"/>
    <x v="36"/>
    <x v="2632"/>
    <d v="2016-05-29T01:28:59"/>
    <x v="36"/>
    <x v="2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x v="0"/>
    <n v="199"/>
    <x v="0"/>
    <s v="technology/space exploration"/>
    <n v="355"/>
    <n v="89.1"/>
    <x v="2"/>
    <x v="36"/>
    <x v="2633"/>
    <d v="2014-02-27T23:00:00"/>
    <x v="404"/>
    <x v="3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x v="0"/>
    <n v="25"/>
    <x v="0"/>
    <s v="technology/space exploration"/>
    <n v="106"/>
    <n v="39.44"/>
    <x v="2"/>
    <x v="36"/>
    <x v="2634"/>
    <d v="2016-09-29T15:45:21"/>
    <x v="1"/>
    <x v="2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x v="0"/>
    <n v="84"/>
    <x v="0"/>
    <s v="technology/space exploration"/>
    <n v="100"/>
    <n v="136.9"/>
    <x v="2"/>
    <x v="36"/>
    <x v="2635"/>
    <d v="2015-03-09T21:49:21"/>
    <x v="89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x v="0"/>
    <n v="50"/>
    <x v="0"/>
    <s v="technology/space exploration"/>
    <n v="187"/>
    <n v="37.46"/>
    <x v="2"/>
    <x v="36"/>
    <x v="2636"/>
    <d v="2016-10-16T01:00:00"/>
    <x v="749"/>
    <x v="2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x v="0"/>
    <n v="26"/>
    <x v="0"/>
    <s v="technology/space exploration"/>
    <n v="166"/>
    <n v="31.96"/>
    <x v="2"/>
    <x v="36"/>
    <x v="2637"/>
    <d v="2016-10-12T13:11:15"/>
    <x v="184"/>
    <x v="2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x v="0"/>
    <n v="14"/>
    <x v="0"/>
    <s v="technology/space exploration"/>
    <n v="102"/>
    <n v="25.21"/>
    <x v="2"/>
    <x v="36"/>
    <x v="2638"/>
    <d v="2015-01-15T21:54:55"/>
    <x v="1"/>
    <x v="3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x v="0"/>
    <n v="49"/>
    <x v="0"/>
    <s v="technology/space exploration"/>
    <n v="164"/>
    <n v="10.039999999999999"/>
    <x v="2"/>
    <x v="36"/>
    <x v="2639"/>
    <d v="2015-02-19T20:45:48"/>
    <x v="1"/>
    <x v="0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x v="0"/>
    <n v="69"/>
    <x v="0"/>
    <s v="technology/space exploration"/>
    <n v="106"/>
    <n v="45.94"/>
    <x v="2"/>
    <x v="36"/>
    <x v="2640"/>
    <d v="2015-06-08T03:51:14"/>
    <x v="14"/>
    <x v="0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x v="0"/>
    <n v="1"/>
    <x v="1"/>
    <s v="technology/space exploration"/>
    <n v="1"/>
    <n v="15"/>
    <x v="2"/>
    <x v="36"/>
    <x v="2641"/>
    <d v="2014-09-15T20:09:00"/>
    <x v="750"/>
    <x v="3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x v="0"/>
    <n v="0"/>
    <x v="1"/>
    <s v="technology/space exploration"/>
    <n v="0"/>
    <n v="0"/>
    <x v="2"/>
    <x v="36"/>
    <x v="2642"/>
    <d v="2016-07-15T06:57:00"/>
    <x v="13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x v="1"/>
    <n v="1501"/>
    <x v="1"/>
    <s v="technology/space exploration"/>
    <n v="34"/>
    <n v="223.58"/>
    <x v="2"/>
    <x v="36"/>
    <x v="2643"/>
    <d v="2016-12-21T07:59:00"/>
    <x v="751"/>
    <x v="2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x v="1"/>
    <n v="52"/>
    <x v="1"/>
    <s v="technology/space exploration"/>
    <n v="2"/>
    <n v="39.479999999999997"/>
    <x v="2"/>
    <x v="36"/>
    <x v="2644"/>
    <d v="2017-03-10T19:00:35"/>
    <x v="1"/>
    <x v="1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x v="1"/>
    <n v="23"/>
    <x v="1"/>
    <s v="technology/space exploration"/>
    <n v="11"/>
    <n v="91.3"/>
    <x v="2"/>
    <x v="36"/>
    <x v="2645"/>
    <d v="2014-11-08T21:13:23"/>
    <x v="13"/>
    <x v="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x v="1"/>
    <n v="535"/>
    <x v="1"/>
    <s v="technology/space exploration"/>
    <n v="8"/>
    <n v="78.67"/>
    <x v="2"/>
    <x v="36"/>
    <x v="2646"/>
    <d v="2015-09-09T07:31:09"/>
    <x v="1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x v="0"/>
    <n v="3"/>
    <x v="1"/>
    <s v="technology/space exploration"/>
    <n v="1"/>
    <n v="12"/>
    <x v="2"/>
    <x v="36"/>
    <x v="2647"/>
    <d v="2015-08-14T06:16:59"/>
    <x v="1"/>
    <x v="0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x v="0"/>
    <n v="6"/>
    <x v="1"/>
    <s v="technology/space exploration"/>
    <n v="1"/>
    <n v="17.670000000000002"/>
    <x v="2"/>
    <x v="36"/>
    <x v="2648"/>
    <d v="2016-03-09T17:09:20"/>
    <x v="1"/>
    <x v="2"/>
  </r>
  <r>
    <x v="2649"/>
    <s v="The Mission - Please Check Back Soon (Canceled)"/>
    <s v="They have launched a Kickstarter."/>
    <x v="152"/>
    <x v="1811"/>
    <x v="1"/>
    <x v="0"/>
    <s v="USD"/>
    <n v="1454370941"/>
    <x v="2649"/>
    <x v="0"/>
    <n v="3"/>
    <x v="1"/>
    <s v="technology/space exploration"/>
    <n v="0"/>
    <n v="41.33"/>
    <x v="2"/>
    <x v="36"/>
    <x v="2649"/>
    <d v="2016-02-01T23:55:41"/>
    <x v="14"/>
    <x v="0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x v="0"/>
    <n v="5"/>
    <x v="1"/>
    <s v="technology/space exploration"/>
    <n v="1"/>
    <n v="71.599999999999994"/>
    <x v="2"/>
    <x v="36"/>
    <x v="2650"/>
    <d v="2016-12-21T14:59:03"/>
    <x v="1"/>
    <x v="2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x v="0"/>
    <n v="17"/>
    <x v="1"/>
    <s v="technology/space exploration"/>
    <n v="2"/>
    <n v="307.82"/>
    <x v="2"/>
    <x v="36"/>
    <x v="2651"/>
    <d v="2015-12-17T19:20:09"/>
    <x v="240"/>
    <x v="0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x v="0"/>
    <n v="11"/>
    <x v="1"/>
    <s v="technology/space exploration"/>
    <n v="1"/>
    <n v="80.45"/>
    <x v="2"/>
    <x v="36"/>
    <x v="2652"/>
    <d v="2014-12-10T03:48:45"/>
    <x v="1"/>
    <x v="3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x v="0"/>
    <n v="70"/>
    <x v="1"/>
    <s v="technology/space exploration"/>
    <n v="12"/>
    <n v="83.94"/>
    <x v="2"/>
    <x v="36"/>
    <x v="2653"/>
    <d v="2014-06-13T04:00:00"/>
    <x v="752"/>
    <x v="3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x v="0"/>
    <n v="6"/>
    <x v="1"/>
    <s v="technology/space exploration"/>
    <n v="0"/>
    <n v="8.5"/>
    <x v="2"/>
    <x v="36"/>
    <x v="2654"/>
    <d v="2015-04-21T13:25:26"/>
    <x v="80"/>
    <x v="0"/>
  </r>
  <r>
    <x v="2655"/>
    <s v="Balloons (Canceled)"/>
    <s v="Thank you for your support!"/>
    <x v="36"/>
    <x v="1815"/>
    <x v="1"/>
    <x v="0"/>
    <s v="USD"/>
    <n v="1455048000"/>
    <x v="2655"/>
    <x v="0"/>
    <n v="43"/>
    <x v="1"/>
    <s v="technology/space exploration"/>
    <n v="21"/>
    <n v="73.37"/>
    <x v="2"/>
    <x v="36"/>
    <x v="2655"/>
    <d v="2016-02-09T20:00:00"/>
    <x v="753"/>
    <x v="2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x v="0"/>
    <n v="152"/>
    <x v="1"/>
    <s v="technology/space exploration"/>
    <n v="11"/>
    <n v="112.86"/>
    <x v="2"/>
    <x v="36"/>
    <x v="2656"/>
    <d v="2017-03-12T19:00:00"/>
    <x v="754"/>
    <x v="1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x v="0"/>
    <n v="59"/>
    <x v="1"/>
    <s v="technology/space exploration"/>
    <n v="19"/>
    <n v="95.28"/>
    <x v="2"/>
    <x v="36"/>
    <x v="2657"/>
    <d v="2016-08-03T01:30:00"/>
    <x v="489"/>
    <x v="2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x v="0"/>
    <n v="4"/>
    <x v="1"/>
    <s v="technology/space exploration"/>
    <n v="0"/>
    <n v="22.75"/>
    <x v="2"/>
    <x v="36"/>
    <x v="2658"/>
    <d v="2016-07-30T21:13:14"/>
    <x v="1"/>
    <x v="2"/>
  </r>
  <r>
    <x v="2659"/>
    <s v="test (Canceled)"/>
    <s v="test"/>
    <x v="197"/>
    <x v="1819"/>
    <x v="1"/>
    <x v="0"/>
    <s v="USD"/>
    <n v="1429321210"/>
    <x v="2659"/>
    <x v="0"/>
    <n v="10"/>
    <x v="1"/>
    <s v="technology/space exploration"/>
    <n v="3"/>
    <n v="133.30000000000001"/>
    <x v="2"/>
    <x v="36"/>
    <x v="2659"/>
    <d v="2015-04-18T01:40:10"/>
    <x v="1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x v="0"/>
    <n v="5"/>
    <x v="1"/>
    <s v="technology/space exploration"/>
    <n v="0"/>
    <n v="3.8"/>
    <x v="2"/>
    <x v="36"/>
    <x v="2660"/>
    <d v="2015-11-24T18:06:58"/>
    <x v="27"/>
    <x v="0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x v="0"/>
    <n v="60"/>
    <x v="0"/>
    <s v="technology/makerspaces"/>
    <n v="103"/>
    <n v="85.75"/>
    <x v="2"/>
    <x v="37"/>
    <x v="2661"/>
    <d v="2013-10-25T23:00:10"/>
    <x v="1"/>
    <x v="4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x v="0"/>
    <n v="80"/>
    <x v="0"/>
    <s v="technology/makerspaces"/>
    <n v="107"/>
    <n v="267"/>
    <x v="2"/>
    <x v="37"/>
    <x v="2662"/>
    <d v="2015-08-21T17:55:13"/>
    <x v="1"/>
    <x v="0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x v="0"/>
    <n v="56"/>
    <x v="0"/>
    <s v="technology/makerspaces"/>
    <n v="105"/>
    <n v="373.56"/>
    <x v="2"/>
    <x v="37"/>
    <x v="2663"/>
    <d v="2015-09-04T15:00:00"/>
    <x v="229"/>
    <x v="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x v="0"/>
    <n v="104"/>
    <x v="0"/>
    <s v="technology/makerspaces"/>
    <n v="103"/>
    <n v="174.04"/>
    <x v="2"/>
    <x v="37"/>
    <x v="2664"/>
    <d v="2015-12-09T06:59:00"/>
    <x v="755"/>
    <x v="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x v="0"/>
    <n v="46"/>
    <x v="0"/>
    <s v="technology/makerspaces"/>
    <n v="123"/>
    <n v="93.7"/>
    <x v="2"/>
    <x v="37"/>
    <x v="2665"/>
    <d v="2015-05-04T21:29:34"/>
    <x v="26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x v="0"/>
    <n v="206"/>
    <x v="0"/>
    <s v="technology/makerspaces"/>
    <n v="159"/>
    <n v="77.33"/>
    <x v="2"/>
    <x v="37"/>
    <x v="2666"/>
    <d v="2015-09-25T21:00:00"/>
    <x v="756"/>
    <x v="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x v="0"/>
    <n v="18"/>
    <x v="0"/>
    <s v="technology/makerspaces"/>
    <n v="111"/>
    <n v="92.22"/>
    <x v="2"/>
    <x v="37"/>
    <x v="2667"/>
    <d v="2016-02-10T22:13:36"/>
    <x v="1"/>
    <x v="2"/>
  </r>
  <r>
    <x v="2668"/>
    <s v="UOttawa Makermobile"/>
    <s v="Creativity on the go! |_x000a_CrÃ©ativitÃ© en mouvement !"/>
    <x v="28"/>
    <x v="1240"/>
    <x v="0"/>
    <x v="5"/>
    <s v="CAD"/>
    <n v="1447079520"/>
    <x v="2668"/>
    <x v="0"/>
    <n v="28"/>
    <x v="0"/>
    <s v="technology/makerspaces"/>
    <n v="171"/>
    <n v="60.96"/>
    <x v="2"/>
    <x v="37"/>
    <x v="2668"/>
    <d v="2015-11-09T14:32:00"/>
    <x v="757"/>
    <x v="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x v="0"/>
    <n v="11"/>
    <x v="0"/>
    <s v="technology/makerspaces"/>
    <n v="125"/>
    <n v="91"/>
    <x v="2"/>
    <x v="37"/>
    <x v="2669"/>
    <d v="2016-01-10T00:51:36"/>
    <x v="14"/>
    <x v="0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x v="1"/>
    <n v="60"/>
    <x v="1"/>
    <s v="technology/makerspaces"/>
    <n v="6"/>
    <n v="41.58"/>
    <x v="2"/>
    <x v="37"/>
    <x v="2670"/>
    <d v="2014-07-29T00:29:40"/>
    <x v="240"/>
    <x v="3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x v="1"/>
    <n v="84"/>
    <x v="1"/>
    <s v="technology/makerspaces"/>
    <n v="11"/>
    <n v="33.76"/>
    <x v="2"/>
    <x v="37"/>
    <x v="2671"/>
    <d v="2014-12-19T19:38:00"/>
    <x v="758"/>
    <x v="3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x v="1"/>
    <n v="47"/>
    <x v="1"/>
    <s v="technology/makerspaces"/>
    <n v="33"/>
    <n v="70.62"/>
    <x v="2"/>
    <x v="37"/>
    <x v="2672"/>
    <d v="2015-12-28T06:00:00"/>
    <x v="759"/>
    <x v="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x v="1"/>
    <n v="66"/>
    <x v="1"/>
    <s v="technology/makerspaces"/>
    <n v="28"/>
    <n v="167.15"/>
    <x v="2"/>
    <x v="37"/>
    <x v="2673"/>
    <d v="2014-10-29T22:45:00"/>
    <x v="144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x v="1"/>
    <n v="171"/>
    <x v="1"/>
    <s v="technology/makerspaces"/>
    <n v="63"/>
    <n v="128.62"/>
    <x v="2"/>
    <x v="37"/>
    <x v="2674"/>
    <d v="2016-07-05T04:59:00"/>
    <x v="746"/>
    <x v="2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x v="1"/>
    <n v="29"/>
    <x v="1"/>
    <s v="technology/makerspaces"/>
    <n v="8"/>
    <n v="65.41"/>
    <x v="2"/>
    <x v="37"/>
    <x v="2675"/>
    <d v="2014-11-10T21:34:49"/>
    <x v="13"/>
    <x v="3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x v="0"/>
    <n v="9"/>
    <x v="1"/>
    <s v="technology/makerspaces"/>
    <n v="50"/>
    <n v="117.56"/>
    <x v="2"/>
    <x v="37"/>
    <x v="2676"/>
    <d v="2016-05-22T14:59:34"/>
    <x v="1"/>
    <x v="2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x v="0"/>
    <n v="27"/>
    <x v="1"/>
    <s v="technology/makerspaces"/>
    <n v="18"/>
    <n v="126.48"/>
    <x v="2"/>
    <x v="37"/>
    <x v="2677"/>
    <d v="2014-07-03T00:42:23"/>
    <x v="1"/>
    <x v="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x v="0"/>
    <n v="2"/>
    <x v="1"/>
    <s v="technology/makerspaces"/>
    <n v="0"/>
    <n v="550"/>
    <x v="2"/>
    <x v="37"/>
    <x v="2678"/>
    <d v="2015-09-24T19:09:25"/>
    <x v="1"/>
    <x v="0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x v="0"/>
    <n v="3"/>
    <x v="1"/>
    <s v="technology/makerspaces"/>
    <n v="0"/>
    <n v="44"/>
    <x v="2"/>
    <x v="37"/>
    <x v="2679"/>
    <d v="2015-02-28T00:01:34"/>
    <x v="1"/>
    <x v="0"/>
  </r>
  <r>
    <x v="2680"/>
    <s v="iHeart Pillow"/>
    <s v="iHeartPillow, Connecting loved ones"/>
    <x v="261"/>
    <x v="1836"/>
    <x v="2"/>
    <x v="3"/>
    <s v="EUR"/>
    <n v="1459915491"/>
    <x v="2680"/>
    <x v="0"/>
    <n v="4"/>
    <x v="1"/>
    <s v="technology/makerspaces"/>
    <n v="1"/>
    <n v="69"/>
    <x v="2"/>
    <x v="37"/>
    <x v="2680"/>
    <d v="2016-04-06T04:04:51"/>
    <x v="22"/>
    <x v="2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x v="0"/>
    <n v="2"/>
    <x v="1"/>
    <s v="food/food trucks"/>
    <n v="1"/>
    <n v="27.5"/>
    <x v="7"/>
    <x v="19"/>
    <x v="2681"/>
    <d v="2014-07-10T21:29:10"/>
    <x v="36"/>
    <x v="3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x v="0"/>
    <n v="20"/>
    <x v="1"/>
    <s v="food/food trucks"/>
    <n v="28"/>
    <n v="84.9"/>
    <x v="7"/>
    <x v="19"/>
    <x v="2682"/>
    <d v="2014-11-22T05:59:00"/>
    <x v="297"/>
    <x v="3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x v="0"/>
    <n v="3"/>
    <x v="1"/>
    <s v="food/food trucks"/>
    <n v="0"/>
    <n v="12"/>
    <x v="7"/>
    <x v="19"/>
    <x v="2683"/>
    <d v="2015-03-01T18:07:20"/>
    <x v="1"/>
    <x v="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x v="0"/>
    <n v="4"/>
    <x v="1"/>
    <s v="food/food trucks"/>
    <n v="1"/>
    <n v="200"/>
    <x v="7"/>
    <x v="19"/>
    <x v="2684"/>
    <d v="2014-08-09T21:57:05"/>
    <x v="4"/>
    <x v="3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x v="0"/>
    <n v="1"/>
    <x v="1"/>
    <s v="food/food trucks"/>
    <n v="0"/>
    <n v="10"/>
    <x v="7"/>
    <x v="19"/>
    <x v="2685"/>
    <d v="2015-04-27T15:42:10"/>
    <x v="8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x v="0"/>
    <n v="0"/>
    <x v="1"/>
    <s v="food/food trucks"/>
    <n v="0"/>
    <n v="0"/>
    <x v="7"/>
    <x v="19"/>
    <x v="2686"/>
    <d v="2014-09-30T23:23:43"/>
    <x v="51"/>
    <x v="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x v="0"/>
    <n v="0"/>
    <x v="1"/>
    <s v="food/food trucks"/>
    <n v="0"/>
    <n v="0"/>
    <x v="7"/>
    <x v="19"/>
    <x v="2687"/>
    <d v="2015-06-29T15:21:58"/>
    <x v="1"/>
    <x v="0"/>
  </r>
  <r>
    <x v="2688"/>
    <s v="Mac N Cheez Food Truck"/>
    <s v="The amazing gourmet Mac N Cheez Food Truck Campaigne!"/>
    <x v="63"/>
    <x v="1838"/>
    <x v="2"/>
    <x v="0"/>
    <s v="USD"/>
    <n v="1424746800"/>
    <x v="2688"/>
    <x v="0"/>
    <n v="14"/>
    <x v="1"/>
    <s v="food/food trucks"/>
    <n v="0"/>
    <n v="5.29"/>
    <x v="7"/>
    <x v="19"/>
    <x v="2688"/>
    <d v="2015-02-24T03:00:00"/>
    <x v="401"/>
    <x v="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x v="0"/>
    <n v="1"/>
    <x v="1"/>
    <s v="food/food trucks"/>
    <n v="0"/>
    <n v="1"/>
    <x v="7"/>
    <x v="19"/>
    <x v="2689"/>
    <d v="2016-07-30T23:04:50"/>
    <x v="1"/>
    <x v="2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x v="0"/>
    <n v="118"/>
    <x v="1"/>
    <s v="food/food trucks"/>
    <n v="11"/>
    <n v="72.760000000000005"/>
    <x v="7"/>
    <x v="19"/>
    <x v="2690"/>
    <d v="2015-06-03T02:31:16"/>
    <x v="26"/>
    <x v="0"/>
  </r>
  <r>
    <x v="2691"/>
    <s v="Cook"/>
    <s v="A Great New local Food Truck serving up ethnic fusion inspired eats in Ottawa."/>
    <x v="99"/>
    <x v="428"/>
    <x v="2"/>
    <x v="5"/>
    <s v="CAD"/>
    <n v="1431278557"/>
    <x v="2691"/>
    <x v="0"/>
    <n v="2"/>
    <x v="1"/>
    <s v="food/food trucks"/>
    <n v="0"/>
    <n v="17.5"/>
    <x v="7"/>
    <x v="19"/>
    <x v="2691"/>
    <d v="2015-05-10T17:22:37"/>
    <x v="26"/>
    <x v="0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x v="0"/>
    <n v="1"/>
    <x v="1"/>
    <s v="food/food trucks"/>
    <n v="1"/>
    <n v="25"/>
    <x v="7"/>
    <x v="19"/>
    <x v="2692"/>
    <d v="2015-03-25T07:01:00"/>
    <x v="22"/>
    <x v="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x v="0"/>
    <n v="3"/>
    <x v="1"/>
    <s v="food/food trucks"/>
    <n v="1"/>
    <n v="13.33"/>
    <x v="7"/>
    <x v="19"/>
    <x v="2693"/>
    <d v="2014-08-13T03:19:26"/>
    <x v="1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x v="0"/>
    <n v="1"/>
    <x v="1"/>
    <s v="food/food trucks"/>
    <n v="0"/>
    <n v="1"/>
    <x v="7"/>
    <x v="19"/>
    <x v="2694"/>
    <d v="2014-09-26T03:22:19"/>
    <x v="1"/>
    <x v="3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x v="0"/>
    <n v="3"/>
    <x v="1"/>
    <s v="food/food trucks"/>
    <n v="0"/>
    <n v="23.67"/>
    <x v="7"/>
    <x v="19"/>
    <x v="2695"/>
    <d v="2015-04-14T03:21:58"/>
    <x v="80"/>
    <x v="0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x v="0"/>
    <n v="38"/>
    <x v="1"/>
    <s v="food/food trucks"/>
    <n v="6"/>
    <n v="89.21"/>
    <x v="7"/>
    <x v="19"/>
    <x v="2696"/>
    <d v="2014-12-25T20:16:00"/>
    <x v="322"/>
    <x v="3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x v="0"/>
    <n v="52"/>
    <x v="1"/>
    <s v="food/food trucks"/>
    <n v="26"/>
    <n v="116.56"/>
    <x v="7"/>
    <x v="19"/>
    <x v="2697"/>
    <d v="2015-08-02T22:00:00"/>
    <x v="28"/>
    <x v="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x v="0"/>
    <n v="2"/>
    <x v="1"/>
    <s v="food/food trucks"/>
    <n v="0"/>
    <n v="13.01"/>
    <x v="7"/>
    <x v="19"/>
    <x v="2698"/>
    <d v="2014-06-27T21:33:28"/>
    <x v="1"/>
    <x v="3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x v="0"/>
    <n v="0"/>
    <x v="1"/>
    <s v="food/food trucks"/>
    <n v="0"/>
    <n v="0"/>
    <x v="7"/>
    <x v="19"/>
    <x v="2699"/>
    <d v="2014-08-08T21:31:03"/>
    <x v="1"/>
    <x v="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x v="0"/>
    <n v="4"/>
    <x v="1"/>
    <s v="food/food trucks"/>
    <n v="1"/>
    <n v="17.5"/>
    <x v="7"/>
    <x v="19"/>
    <x v="2700"/>
    <d v="2014-09-18T20:59:32"/>
    <x v="1"/>
    <x v="3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x v="0"/>
    <n v="46"/>
    <x v="1"/>
    <s v="theater/spaces"/>
    <n v="46"/>
    <n v="34.130000000000003"/>
    <x v="1"/>
    <x v="38"/>
    <x v="2701"/>
    <d v="2017-04-07T17:35:34"/>
    <x v="760"/>
    <x v="1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x v="1"/>
    <n v="26"/>
    <x v="1"/>
    <s v="theater/spaces"/>
    <n v="34"/>
    <n v="132.35"/>
    <x v="1"/>
    <x v="38"/>
    <x v="2702"/>
    <d v="2017-04-05T18:14:37"/>
    <x v="22"/>
    <x v="1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x v="0"/>
    <n v="45"/>
    <x v="1"/>
    <s v="theater/spaces"/>
    <n v="104"/>
    <n v="922.22"/>
    <x v="1"/>
    <x v="38"/>
    <x v="2703"/>
    <d v="2017-03-22T15:33:50"/>
    <x v="80"/>
    <x v="1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x v="0"/>
    <n v="7"/>
    <x v="1"/>
    <s v="theater/spaces"/>
    <n v="6"/>
    <n v="163.57"/>
    <x v="1"/>
    <x v="38"/>
    <x v="2704"/>
    <d v="2017-04-05T19:41:54"/>
    <x v="761"/>
    <x v="1"/>
  </r>
  <r>
    <x v="2705"/>
    <s v="Fischer Theatre Marquee"/>
    <s v="Help light the lights at the historic Fischer Theatre in Danville, IL."/>
    <x v="281"/>
    <x v="1846"/>
    <x v="3"/>
    <x v="0"/>
    <s v="USD"/>
    <n v="1490389158"/>
    <x v="2705"/>
    <x v="0"/>
    <n v="8"/>
    <x v="1"/>
    <s v="theater/spaces"/>
    <n v="11"/>
    <n v="217.38"/>
    <x v="1"/>
    <x v="38"/>
    <x v="2705"/>
    <d v="2017-03-24T20:59:18"/>
    <x v="129"/>
    <x v="1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x v="1"/>
    <n v="263"/>
    <x v="0"/>
    <s v="theater/spaces"/>
    <n v="112"/>
    <n v="149.44"/>
    <x v="1"/>
    <x v="38"/>
    <x v="2706"/>
    <d v="2014-10-16T06:59:00"/>
    <x v="229"/>
    <x v="3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x v="1"/>
    <n v="394"/>
    <x v="0"/>
    <s v="theater/spaces"/>
    <n v="351"/>
    <n v="71.239999999999995"/>
    <x v="1"/>
    <x v="38"/>
    <x v="2707"/>
    <d v="2013-05-27T06:59:00"/>
    <x v="319"/>
    <x v="4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x v="1"/>
    <n v="1049"/>
    <x v="0"/>
    <s v="theater/spaces"/>
    <n v="233"/>
    <n v="44.46"/>
    <x v="1"/>
    <x v="38"/>
    <x v="2708"/>
    <d v="2016-07-21T16:45:26"/>
    <x v="14"/>
    <x v="2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x v="1"/>
    <n v="308"/>
    <x v="0"/>
    <s v="theater/spaces"/>
    <n v="102"/>
    <n v="164.94"/>
    <x v="1"/>
    <x v="38"/>
    <x v="2709"/>
    <d v="2016-10-04T03:59:00"/>
    <x v="675"/>
    <x v="2"/>
  </r>
  <r>
    <x v="2710"/>
    <s v="House of Yes"/>
    <s v="Building Brooklyn's own creative venue for circus, theater and events of all types."/>
    <x v="127"/>
    <x v="1851"/>
    <x v="0"/>
    <x v="0"/>
    <s v="USD"/>
    <n v="1407549600"/>
    <x v="2710"/>
    <x v="1"/>
    <n v="1088"/>
    <x v="0"/>
    <s v="theater/spaces"/>
    <n v="154"/>
    <n v="84.87"/>
    <x v="1"/>
    <x v="38"/>
    <x v="2710"/>
    <d v="2014-08-09T02:00:00"/>
    <x v="539"/>
    <x v="3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x v="1"/>
    <n v="73"/>
    <x v="0"/>
    <s v="theater/spaces"/>
    <n v="101"/>
    <n v="53.95"/>
    <x v="1"/>
    <x v="38"/>
    <x v="2711"/>
    <d v="2014-06-20T22:01:00"/>
    <x v="762"/>
    <x v="3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x v="1"/>
    <n v="143"/>
    <x v="0"/>
    <s v="theater/spaces"/>
    <n v="131"/>
    <n v="50.53"/>
    <x v="1"/>
    <x v="38"/>
    <x v="2712"/>
    <d v="2013-07-13T18:00:00"/>
    <x v="763"/>
    <x v="4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x v="1"/>
    <n v="1420"/>
    <x v="0"/>
    <s v="theater/spaces"/>
    <n v="102"/>
    <n v="108"/>
    <x v="1"/>
    <x v="38"/>
    <x v="2713"/>
    <d v="2015-12-24T15:41:24"/>
    <x v="4"/>
    <x v="0"/>
  </r>
  <r>
    <x v="2714"/>
    <s v="The Crane Theater"/>
    <s v="The Crane will be the new home for independent theater in Northeast Minneapolis"/>
    <x v="31"/>
    <x v="1855"/>
    <x v="0"/>
    <x v="0"/>
    <s v="USD"/>
    <n v="1476486000"/>
    <x v="2714"/>
    <x v="1"/>
    <n v="305"/>
    <x v="0"/>
    <s v="theater/spaces"/>
    <n v="116"/>
    <n v="95.37"/>
    <x v="1"/>
    <x v="38"/>
    <x v="2714"/>
    <d v="2016-10-14T23:00:00"/>
    <x v="764"/>
    <x v="2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x v="1"/>
    <n v="551"/>
    <x v="0"/>
    <s v="theater/spaces"/>
    <n v="265"/>
    <n v="57.63"/>
    <x v="1"/>
    <x v="38"/>
    <x v="2715"/>
    <d v="2016-02-21T09:33:48"/>
    <x v="322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x v="1"/>
    <n v="187"/>
    <x v="0"/>
    <s v="theater/spaces"/>
    <n v="120"/>
    <n v="64.16"/>
    <x v="1"/>
    <x v="38"/>
    <x v="2716"/>
    <d v="2015-10-08T07:59:53"/>
    <x v="1"/>
    <x v="0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x v="1"/>
    <n v="325"/>
    <x v="0"/>
    <s v="theater/spaces"/>
    <n v="120"/>
    <n v="92.39"/>
    <x v="1"/>
    <x v="38"/>
    <x v="2717"/>
    <d v="2014-12-06T22:57:29"/>
    <x v="71"/>
    <x v="3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x v="1"/>
    <n v="148"/>
    <x v="0"/>
    <s v="theater/spaces"/>
    <n v="104"/>
    <n v="125.98"/>
    <x v="1"/>
    <x v="38"/>
    <x v="2718"/>
    <d v="2016-05-03T23:00:00"/>
    <x v="765"/>
    <x v="2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x v="0"/>
    <n v="69"/>
    <x v="0"/>
    <s v="theater/spaces"/>
    <n v="109"/>
    <n v="94.64"/>
    <x v="1"/>
    <x v="38"/>
    <x v="2719"/>
    <d v="2016-04-17T23:44:54"/>
    <x v="80"/>
    <x v="2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x v="0"/>
    <n v="173"/>
    <x v="0"/>
    <s v="theater/spaces"/>
    <n v="118"/>
    <n v="170.7"/>
    <x v="1"/>
    <x v="38"/>
    <x v="2720"/>
    <d v="2016-11-11T12:10:53"/>
    <x v="13"/>
    <x v="2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x v="0"/>
    <n v="269"/>
    <x v="0"/>
    <s v="technology/hardware"/>
    <n v="1462"/>
    <n v="40.76"/>
    <x v="2"/>
    <x v="30"/>
    <x v="2721"/>
    <d v="2013-09-06T19:00:00"/>
    <x v="766"/>
    <x v="4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x v="0"/>
    <n v="185"/>
    <x v="0"/>
    <s v="technology/hardware"/>
    <n v="253"/>
    <n v="68.25"/>
    <x v="2"/>
    <x v="30"/>
    <x v="2722"/>
    <d v="2017-01-29T20:34:13"/>
    <x v="14"/>
    <x v="2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x v="0"/>
    <n v="176"/>
    <x v="0"/>
    <s v="technology/hardware"/>
    <n v="140"/>
    <n v="95.49"/>
    <x v="2"/>
    <x v="30"/>
    <x v="2723"/>
    <d v="2014-12-31T21:08:08"/>
    <x v="27"/>
    <x v="3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x v="0"/>
    <n v="1019"/>
    <x v="0"/>
    <s v="technology/hardware"/>
    <n v="297"/>
    <n v="7.19"/>
    <x v="2"/>
    <x v="30"/>
    <x v="2724"/>
    <d v="2015-08-15T07:50:59"/>
    <x v="114"/>
    <x v="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x v="0"/>
    <n v="113"/>
    <x v="0"/>
    <s v="technology/hardware"/>
    <n v="145"/>
    <n v="511.65"/>
    <x v="2"/>
    <x v="30"/>
    <x v="2725"/>
    <d v="2017-03-01T17:52:15"/>
    <x v="76"/>
    <x v="1"/>
  </r>
  <r>
    <x v="2726"/>
    <s v="Krimston TWO - Dual SIM case for iPhone"/>
    <s v="Krimston TWO: iPhone Dual SIM Case"/>
    <x v="57"/>
    <x v="1867"/>
    <x v="0"/>
    <x v="0"/>
    <s v="USD"/>
    <n v="1461333311"/>
    <x v="2726"/>
    <x v="0"/>
    <n v="404"/>
    <x v="0"/>
    <s v="technology/hardware"/>
    <n v="106"/>
    <n v="261.75"/>
    <x v="2"/>
    <x v="30"/>
    <x v="2726"/>
    <d v="2016-04-22T13:55:11"/>
    <x v="1"/>
    <x v="2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x v="0"/>
    <n v="707"/>
    <x v="0"/>
    <s v="technology/hardware"/>
    <n v="493"/>
    <n v="69.760000000000005"/>
    <x v="2"/>
    <x v="30"/>
    <x v="2727"/>
    <d v="2015-08-07T16:14:23"/>
    <x v="36"/>
    <x v="0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x v="2728"/>
    <x v="0"/>
    <n v="392"/>
    <x v="0"/>
    <s v="technology/hardware"/>
    <n v="202"/>
    <n v="77.23"/>
    <x v="2"/>
    <x v="30"/>
    <x v="2728"/>
    <d v="2015-12-30T14:23:54"/>
    <x v="6"/>
    <x v="0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x v="0"/>
    <n v="23"/>
    <x v="0"/>
    <s v="technology/hardware"/>
    <n v="104"/>
    <n v="340.57"/>
    <x v="2"/>
    <x v="30"/>
    <x v="2729"/>
    <d v="2015-05-01T05:46:37"/>
    <x v="1"/>
    <x v="0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x v="0"/>
    <n v="682"/>
    <x v="0"/>
    <s v="technology/hardware"/>
    <n v="170"/>
    <n v="67.42"/>
    <x v="2"/>
    <x v="30"/>
    <x v="2730"/>
    <d v="2013-04-22T12:59:35"/>
    <x v="6"/>
    <x v="4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x v="0"/>
    <n v="37"/>
    <x v="0"/>
    <s v="technology/hardware"/>
    <n v="104"/>
    <n v="845.7"/>
    <x v="2"/>
    <x v="30"/>
    <x v="2731"/>
    <d v="2014-10-18T04:00:00"/>
    <x v="767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x v="0"/>
    <n v="146"/>
    <x v="0"/>
    <s v="technology/hardware"/>
    <n v="118"/>
    <n v="97.19"/>
    <x v="2"/>
    <x v="30"/>
    <x v="2732"/>
    <d v="2013-05-28T00:00:00"/>
    <x v="768"/>
    <x v="4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x v="0"/>
    <n v="119"/>
    <x v="0"/>
    <s v="technology/hardware"/>
    <n v="108"/>
    <n v="451.84"/>
    <x v="2"/>
    <x v="30"/>
    <x v="2733"/>
    <d v="2015-04-10T05:32:54"/>
    <x v="80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x v="0"/>
    <n v="163"/>
    <x v="0"/>
    <s v="technology/hardware"/>
    <n v="2260300"/>
    <n v="138.66999999999999"/>
    <x v="2"/>
    <x v="30"/>
    <x v="2734"/>
    <d v="2016-10-13T21:59:00"/>
    <x v="766"/>
    <x v="2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x v="0"/>
    <n v="339"/>
    <x v="0"/>
    <s v="technology/hardware"/>
    <n v="978"/>
    <n v="21.64"/>
    <x v="2"/>
    <x v="30"/>
    <x v="2735"/>
    <d v="2013-03-13T20:00:00"/>
    <x v="226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x v="0"/>
    <n v="58"/>
    <x v="0"/>
    <s v="technology/hardware"/>
    <n v="123"/>
    <n v="169.52"/>
    <x v="2"/>
    <x v="30"/>
    <x v="2736"/>
    <d v="2014-04-23T15:59:33"/>
    <x v="1"/>
    <x v="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x v="0"/>
    <n v="456"/>
    <x v="0"/>
    <s v="technology/hardware"/>
    <n v="246"/>
    <n v="161.88"/>
    <x v="2"/>
    <x v="30"/>
    <x v="2737"/>
    <d v="2014-01-15T19:00:00"/>
    <x v="769"/>
    <x v="4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x v="0"/>
    <n v="15"/>
    <x v="0"/>
    <s v="technology/hardware"/>
    <n v="148"/>
    <n v="493.13"/>
    <x v="2"/>
    <x v="30"/>
    <x v="2738"/>
    <d v="2016-11-06T03:26:44"/>
    <x v="14"/>
    <x v="2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x v="0"/>
    <n v="191"/>
    <x v="0"/>
    <s v="technology/hardware"/>
    <n v="384"/>
    <n v="22.12"/>
    <x v="2"/>
    <x v="30"/>
    <x v="2739"/>
    <d v="2014-05-05T21:18:37"/>
    <x v="26"/>
    <x v="3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x v="0"/>
    <n v="17"/>
    <x v="0"/>
    <s v="technology/hardware"/>
    <n v="103"/>
    <n v="18.239999999999998"/>
    <x v="2"/>
    <x v="30"/>
    <x v="2740"/>
    <d v="2015-03-11T23:45:52"/>
    <x v="22"/>
    <x v="0"/>
  </r>
  <r>
    <x v="2741"/>
    <s v="Mrs. Brown and Her Lost Puppy."/>
    <s v="Help me publish my 1st children's book as an aspiring author!"/>
    <x v="6"/>
    <x v="428"/>
    <x v="2"/>
    <x v="0"/>
    <s v="USD"/>
    <n v="1413770820"/>
    <x v="2741"/>
    <x v="0"/>
    <n v="4"/>
    <x v="1"/>
    <s v="publishing/children's books"/>
    <n v="0"/>
    <n v="8.75"/>
    <x v="3"/>
    <x v="39"/>
    <x v="2741"/>
    <d v="2014-10-20T02:07:00"/>
    <x v="770"/>
    <x v="3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x v="0"/>
    <n v="18"/>
    <x v="1"/>
    <s v="publishing/children's books"/>
    <n v="29"/>
    <n v="40.61"/>
    <x v="3"/>
    <x v="39"/>
    <x v="2742"/>
    <d v="2012-05-15T17:16:27"/>
    <x v="59"/>
    <x v="5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x v="0"/>
    <n v="0"/>
    <x v="1"/>
    <s v="publishing/children's books"/>
    <n v="0"/>
    <n v="0"/>
    <x v="3"/>
    <x v="39"/>
    <x v="2743"/>
    <d v="2016-10-19T07:53:27"/>
    <x v="1"/>
    <x v="2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x v="0"/>
    <n v="22"/>
    <x v="1"/>
    <s v="publishing/children's books"/>
    <n v="5"/>
    <n v="37.950000000000003"/>
    <x v="3"/>
    <x v="39"/>
    <x v="2744"/>
    <d v="2012-02-29T01:29:58"/>
    <x v="1"/>
    <x v="5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x v="0"/>
    <n v="49"/>
    <x v="1"/>
    <s v="publishing/children's books"/>
    <n v="22"/>
    <n v="35.729999999999997"/>
    <x v="3"/>
    <x v="39"/>
    <x v="2745"/>
    <d v="2012-07-14T23:42:48"/>
    <x v="14"/>
    <x v="5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x v="0"/>
    <n v="19"/>
    <x v="1"/>
    <s v="publishing/children's books"/>
    <n v="27"/>
    <n v="42.16"/>
    <x v="3"/>
    <x v="39"/>
    <x v="2746"/>
    <d v="2014-08-29T18:45:11"/>
    <x v="1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x v="0"/>
    <n v="4"/>
    <x v="1"/>
    <s v="publishing/children's books"/>
    <n v="28"/>
    <n v="35"/>
    <x v="3"/>
    <x v="39"/>
    <x v="2747"/>
    <d v="2012-06-16T03:10:00"/>
    <x v="313"/>
    <x v="5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x v="0"/>
    <n v="4"/>
    <x v="1"/>
    <s v="publishing/children's books"/>
    <n v="1"/>
    <n v="13.25"/>
    <x v="3"/>
    <x v="39"/>
    <x v="2748"/>
    <d v="2016-09-02T17:03:22"/>
    <x v="1"/>
    <x v="2"/>
  </r>
  <r>
    <x v="2749"/>
    <s v="A Tree is a Tree, no matter what you see.  CHILDREN'S BOOK"/>
    <s v="Self-publishing my children's book."/>
    <x v="3"/>
    <x v="178"/>
    <x v="2"/>
    <x v="0"/>
    <s v="USD"/>
    <n v="1428171037"/>
    <x v="2749"/>
    <x v="0"/>
    <n v="2"/>
    <x v="1"/>
    <s v="publishing/children's books"/>
    <n v="1"/>
    <n v="55"/>
    <x v="3"/>
    <x v="39"/>
    <x v="2749"/>
    <d v="2015-04-04T18:10:37"/>
    <x v="22"/>
    <x v="0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x v="0"/>
    <n v="0"/>
    <x v="1"/>
    <s v="publishing/children's books"/>
    <n v="0"/>
    <n v="0"/>
    <x v="3"/>
    <x v="39"/>
    <x v="2750"/>
    <d v="2012-06-30T20:00:00"/>
    <x v="771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x v="0"/>
    <n v="0"/>
    <x v="1"/>
    <s v="publishing/children's books"/>
    <n v="0"/>
    <n v="0"/>
    <x v="3"/>
    <x v="39"/>
    <x v="2751"/>
    <d v="2014-06-17T21:17:22"/>
    <x v="14"/>
    <x v="3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x v="0"/>
    <n v="14"/>
    <x v="1"/>
    <s v="publishing/children's books"/>
    <n v="11"/>
    <n v="39.29"/>
    <x v="3"/>
    <x v="39"/>
    <x v="2752"/>
    <d v="2011-12-18T18:21:44"/>
    <x v="4"/>
    <x v="6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x v="0"/>
    <n v="8"/>
    <x v="1"/>
    <s v="publishing/children's books"/>
    <n v="19"/>
    <n v="47.5"/>
    <x v="3"/>
    <x v="39"/>
    <x v="2753"/>
    <d v="2012-08-26T21:37:03"/>
    <x v="1"/>
    <x v="5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x v="0"/>
    <n v="0"/>
    <x v="1"/>
    <s v="publishing/children's books"/>
    <n v="0"/>
    <n v="0"/>
    <x v="3"/>
    <x v="39"/>
    <x v="2754"/>
    <d v="2014-09-11T15:15:51"/>
    <x v="1"/>
    <x v="3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x v="0"/>
    <n v="15"/>
    <x v="1"/>
    <s v="publishing/children's books"/>
    <n v="52"/>
    <n v="17.329999999999998"/>
    <x v="3"/>
    <x v="39"/>
    <x v="2755"/>
    <d v="2015-04-08T18:58:47"/>
    <x v="1"/>
    <x v="0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x v="0"/>
    <n v="33"/>
    <x v="1"/>
    <s v="publishing/children's books"/>
    <n v="10"/>
    <n v="31.76"/>
    <x v="3"/>
    <x v="39"/>
    <x v="2756"/>
    <d v="2014-01-11T21:36:41"/>
    <x v="1"/>
    <x v="4"/>
  </r>
  <r>
    <x v="2757"/>
    <s v="C is for Crooked"/>
    <s v="A children's letter book that Lampoons Hillary Clinton"/>
    <x v="15"/>
    <x v="115"/>
    <x v="2"/>
    <x v="0"/>
    <s v="USD"/>
    <n v="1470498332"/>
    <x v="2757"/>
    <x v="0"/>
    <n v="2"/>
    <x v="1"/>
    <s v="publishing/children's books"/>
    <n v="1"/>
    <n v="5"/>
    <x v="3"/>
    <x v="39"/>
    <x v="2757"/>
    <d v="2016-08-06T15:45:32"/>
    <x v="20"/>
    <x v="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x v="0"/>
    <n v="6"/>
    <x v="1"/>
    <s v="publishing/children's books"/>
    <n v="12"/>
    <n v="39"/>
    <x v="3"/>
    <x v="39"/>
    <x v="2758"/>
    <d v="2016-10-10T10:36:23"/>
    <x v="59"/>
    <x v="2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x v="0"/>
    <n v="2"/>
    <x v="1"/>
    <s v="publishing/children's books"/>
    <n v="11"/>
    <n v="52.5"/>
    <x v="3"/>
    <x v="39"/>
    <x v="2759"/>
    <d v="2016-07-16T08:47:46"/>
    <x v="85"/>
    <x v="2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x v="0"/>
    <n v="0"/>
    <x v="1"/>
    <s v="publishing/children's books"/>
    <n v="0"/>
    <n v="0"/>
    <x v="3"/>
    <x v="39"/>
    <x v="2760"/>
    <d v="2013-06-20T11:04:18"/>
    <x v="1"/>
    <x v="4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x v="0"/>
    <n v="4"/>
    <x v="1"/>
    <s v="publishing/children's books"/>
    <n v="1"/>
    <n v="9"/>
    <x v="3"/>
    <x v="39"/>
    <x v="2761"/>
    <d v="2013-01-03T01:31:33"/>
    <x v="1"/>
    <x v="5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x v="0"/>
    <n v="1"/>
    <x v="1"/>
    <s v="publishing/children's books"/>
    <n v="1"/>
    <n v="25"/>
    <x v="3"/>
    <x v="39"/>
    <x v="2762"/>
    <d v="2012-03-18T23:53:15"/>
    <x v="80"/>
    <x v="5"/>
  </r>
  <r>
    <x v="2763"/>
    <s v="My Christmas Star"/>
    <s v="How Santa finds childrens homes without getting lost by following certain stars."/>
    <x v="371"/>
    <x v="456"/>
    <x v="2"/>
    <x v="0"/>
    <s v="USD"/>
    <n v="1369403684"/>
    <x v="2763"/>
    <x v="0"/>
    <n v="3"/>
    <x v="1"/>
    <s v="publishing/children's books"/>
    <n v="0"/>
    <n v="30"/>
    <x v="3"/>
    <x v="39"/>
    <x v="2763"/>
    <d v="2013-05-24T13:54:44"/>
    <x v="26"/>
    <x v="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x v="0"/>
    <n v="4"/>
    <x v="1"/>
    <s v="publishing/children's books"/>
    <n v="1"/>
    <n v="11.25"/>
    <x v="3"/>
    <x v="39"/>
    <x v="2764"/>
    <d v="2012-05-30T19:00:00"/>
    <x v="772"/>
    <x v="5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x v="0"/>
    <n v="0"/>
    <x v="1"/>
    <s v="publishing/children's books"/>
    <n v="0"/>
    <n v="0"/>
    <x v="3"/>
    <x v="39"/>
    <x v="2765"/>
    <d v="2012-10-28T13:53:48"/>
    <x v="184"/>
    <x v="5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x v="0"/>
    <n v="4"/>
    <x v="1"/>
    <s v="publishing/children's books"/>
    <n v="2"/>
    <n v="25"/>
    <x v="3"/>
    <x v="39"/>
    <x v="2766"/>
    <d v="2011-08-11T16:01:58"/>
    <x v="1"/>
    <x v="6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x v="0"/>
    <n v="3"/>
    <x v="1"/>
    <s v="publishing/children's books"/>
    <n v="1"/>
    <n v="11.33"/>
    <x v="3"/>
    <x v="39"/>
    <x v="2767"/>
    <d v="2015-08-16T23:00:50"/>
    <x v="14"/>
    <x v="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x v="0"/>
    <n v="34"/>
    <x v="1"/>
    <s v="publishing/children's books"/>
    <n v="14"/>
    <n v="29.47"/>
    <x v="3"/>
    <x v="39"/>
    <x v="2768"/>
    <d v="2012-03-29T13:45:23"/>
    <x v="22"/>
    <x v="5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x v="0"/>
    <n v="2"/>
    <x v="1"/>
    <s v="publishing/children's books"/>
    <n v="0"/>
    <n v="1"/>
    <x v="3"/>
    <x v="39"/>
    <x v="2769"/>
    <d v="2014-06-05T19:49:50"/>
    <x v="76"/>
    <x v="3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x v="0"/>
    <n v="33"/>
    <x v="1"/>
    <s v="publishing/children's books"/>
    <n v="10"/>
    <n v="63.1"/>
    <x v="3"/>
    <x v="39"/>
    <x v="2770"/>
    <d v="2014-03-18T15:55:30"/>
    <x v="22"/>
    <x v="3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x v="0"/>
    <n v="0"/>
    <x v="1"/>
    <s v="publishing/children's books"/>
    <n v="0"/>
    <n v="0"/>
    <x v="3"/>
    <x v="39"/>
    <x v="2771"/>
    <d v="2013-02-01T17:00:00"/>
    <x v="773"/>
    <x v="5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x v="0"/>
    <n v="0"/>
    <x v="1"/>
    <s v="publishing/children's books"/>
    <n v="0"/>
    <n v="0"/>
    <x v="3"/>
    <x v="39"/>
    <x v="2772"/>
    <d v="2013-10-05T20:51:34"/>
    <x v="20"/>
    <x v="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x v="0"/>
    <n v="1"/>
    <x v="1"/>
    <s v="publishing/children's books"/>
    <n v="0"/>
    <n v="1"/>
    <x v="3"/>
    <x v="39"/>
    <x v="2773"/>
    <d v="2016-04-24T20:45:21"/>
    <x v="2"/>
    <x v="2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x v="0"/>
    <n v="13"/>
    <x v="1"/>
    <s v="publishing/children's books"/>
    <n v="14"/>
    <n v="43.85"/>
    <x v="3"/>
    <x v="39"/>
    <x v="2774"/>
    <d v="2013-03-08T03:02:08"/>
    <x v="1"/>
    <x v="4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x v="0"/>
    <n v="2"/>
    <x v="1"/>
    <s v="publishing/children's books"/>
    <n v="3"/>
    <n v="75"/>
    <x v="3"/>
    <x v="39"/>
    <x v="2775"/>
    <d v="2011-12-16T00:19:14"/>
    <x v="1"/>
    <x v="6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x v="0"/>
    <n v="36"/>
    <x v="1"/>
    <s v="publishing/children's books"/>
    <n v="8"/>
    <n v="45.97"/>
    <x v="3"/>
    <x v="39"/>
    <x v="2776"/>
    <d v="2015-06-12T07:07:56"/>
    <x v="102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x v="0"/>
    <n v="1"/>
    <x v="1"/>
    <s v="publishing/children's books"/>
    <n v="0"/>
    <n v="10"/>
    <x v="3"/>
    <x v="39"/>
    <x v="2777"/>
    <d v="2015-07-17T16:03:24"/>
    <x v="1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x v="0"/>
    <n v="15"/>
    <x v="1"/>
    <s v="publishing/children's books"/>
    <n v="26"/>
    <n v="93.67"/>
    <x v="3"/>
    <x v="39"/>
    <x v="2778"/>
    <d v="2014-08-25T23:28:26"/>
    <x v="1"/>
    <x v="3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x v="0"/>
    <n v="1"/>
    <x v="1"/>
    <s v="publishing/children's books"/>
    <n v="2"/>
    <n v="53"/>
    <x v="3"/>
    <x v="39"/>
    <x v="2779"/>
    <d v="2015-11-22T15:03:41"/>
    <x v="13"/>
    <x v="0"/>
  </r>
  <r>
    <x v="2780"/>
    <s v="Travel with baby"/>
    <s v="Turn the World with my kids, and then write a book with the advice for traveling with baby"/>
    <x v="57"/>
    <x v="117"/>
    <x v="2"/>
    <x v="13"/>
    <s v="EUR"/>
    <n v="1489142688"/>
    <x v="2780"/>
    <x v="0"/>
    <n v="0"/>
    <x v="1"/>
    <s v="publishing/children's books"/>
    <n v="0"/>
    <n v="0"/>
    <x v="3"/>
    <x v="39"/>
    <x v="2780"/>
    <d v="2017-03-10T10:44:48"/>
    <x v="1"/>
    <x v="1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x v="0"/>
    <n v="28"/>
    <x v="0"/>
    <s v="theater/plays"/>
    <n v="105"/>
    <n v="47"/>
    <x v="1"/>
    <x v="6"/>
    <x v="2781"/>
    <d v="2015-02-12T07:00:00"/>
    <x v="774"/>
    <x v="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x v="0"/>
    <n v="18"/>
    <x v="0"/>
    <s v="theater/plays"/>
    <n v="120"/>
    <n v="66.67"/>
    <x v="1"/>
    <x v="6"/>
    <x v="2782"/>
    <d v="2015-02-17T04:59:00"/>
    <x v="775"/>
    <x v="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x v="0"/>
    <n v="61"/>
    <x v="0"/>
    <s v="theater/plays"/>
    <n v="115"/>
    <n v="18.77"/>
    <x v="1"/>
    <x v="6"/>
    <x v="2783"/>
    <d v="2015-04-23T12:50:46"/>
    <x v="59"/>
    <x v="0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x v="0"/>
    <n v="108"/>
    <x v="0"/>
    <s v="theater/plays"/>
    <n v="119"/>
    <n v="66.11"/>
    <x v="1"/>
    <x v="6"/>
    <x v="2784"/>
    <d v="2014-10-29T18:54:03"/>
    <x v="31"/>
    <x v="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x v="0"/>
    <n v="142"/>
    <x v="0"/>
    <s v="theater/plays"/>
    <n v="105"/>
    <n v="36.86"/>
    <x v="1"/>
    <x v="6"/>
    <x v="2785"/>
    <d v="2016-08-05T21:00:00"/>
    <x v="776"/>
    <x v="2"/>
  </r>
  <r>
    <x v="2786"/>
    <s v="Fierce"/>
    <s v="A heart-melting farce about sex, art and the lovelorn lay-abouts of London-town."/>
    <x v="30"/>
    <x v="1889"/>
    <x v="0"/>
    <x v="1"/>
    <s v="GBP"/>
    <n v="1404913180"/>
    <x v="2786"/>
    <x v="0"/>
    <n v="74"/>
    <x v="0"/>
    <s v="theater/plays"/>
    <n v="118"/>
    <n v="39.81"/>
    <x v="1"/>
    <x v="6"/>
    <x v="2786"/>
    <d v="2014-07-09T13:39:40"/>
    <x v="59"/>
    <x v="3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x v="0"/>
    <n v="38"/>
    <x v="0"/>
    <s v="theater/plays"/>
    <n v="120"/>
    <n v="31.5"/>
    <x v="1"/>
    <x v="6"/>
    <x v="2787"/>
    <d v="2014-07-18T04:45:52"/>
    <x v="1"/>
    <x v="3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x v="2788"/>
    <x v="0"/>
    <n v="20"/>
    <x v="0"/>
    <s v="theater/plays"/>
    <n v="103"/>
    <n v="102.5"/>
    <x v="1"/>
    <x v="6"/>
    <x v="2788"/>
    <d v="2016-07-29T16:50:43"/>
    <x v="1"/>
    <x v="2"/>
  </r>
  <r>
    <x v="2789"/>
    <s v="The Adventurers Club"/>
    <s v="BNT's Biggest Adventure So Far: Our 2015 full length production!"/>
    <x v="9"/>
    <x v="1891"/>
    <x v="0"/>
    <x v="0"/>
    <s v="USD"/>
    <n v="1426132800"/>
    <x v="2789"/>
    <x v="0"/>
    <n v="24"/>
    <x v="0"/>
    <s v="theater/plays"/>
    <n v="101"/>
    <n v="126.46"/>
    <x v="1"/>
    <x v="6"/>
    <x v="2789"/>
    <d v="2015-03-12T04:00:00"/>
    <x v="777"/>
    <x v="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x v="0"/>
    <n v="66"/>
    <x v="0"/>
    <s v="theater/plays"/>
    <n v="105"/>
    <n v="47.88"/>
    <x v="1"/>
    <x v="6"/>
    <x v="2790"/>
    <d v="2015-02-11T22:31:43"/>
    <x v="1"/>
    <x v="0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x v="0"/>
    <n v="28"/>
    <x v="0"/>
    <s v="theater/plays"/>
    <n v="103"/>
    <n v="73.209999999999994"/>
    <x v="1"/>
    <x v="6"/>
    <x v="2791"/>
    <d v="2016-09-09T04:00:00"/>
    <x v="462"/>
    <x v="2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x v="0"/>
    <n v="24"/>
    <x v="0"/>
    <s v="theater/plays"/>
    <n v="108"/>
    <n v="89.67"/>
    <x v="1"/>
    <x v="6"/>
    <x v="2792"/>
    <d v="2015-08-12T05:32:39"/>
    <x v="26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x v="0"/>
    <n v="73"/>
    <x v="0"/>
    <s v="theater/plays"/>
    <n v="111"/>
    <n v="151.46"/>
    <x v="1"/>
    <x v="6"/>
    <x v="2793"/>
    <d v="2015-07-21T10:03:25"/>
    <x v="1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x v="0"/>
    <n v="3"/>
    <x v="0"/>
    <s v="theater/plays"/>
    <n v="150"/>
    <n v="25"/>
    <x v="1"/>
    <x v="6"/>
    <x v="2794"/>
    <d v="2016-03-03T19:00:00"/>
    <x v="778"/>
    <x v="2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x v="0"/>
    <n v="20"/>
    <x v="0"/>
    <s v="theater/plays"/>
    <n v="104"/>
    <n v="36.5"/>
    <x v="1"/>
    <x v="6"/>
    <x v="2795"/>
    <d v="2014-06-06T23:00:00"/>
    <x v="779"/>
    <x v="3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x v="0"/>
    <n v="21"/>
    <x v="0"/>
    <s v="theater/plays"/>
    <n v="116"/>
    <n v="44"/>
    <x v="1"/>
    <x v="6"/>
    <x v="2796"/>
    <d v="2014-07-05T12:40:28"/>
    <x v="1"/>
    <x v="3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x v="0"/>
    <n v="94"/>
    <x v="0"/>
    <s v="theater/plays"/>
    <n v="103"/>
    <n v="87.36"/>
    <x v="1"/>
    <x v="6"/>
    <x v="2797"/>
    <d v="2014-07-08T22:34:00"/>
    <x v="1"/>
    <x v="3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x v="0"/>
    <n v="139"/>
    <x v="0"/>
    <s v="theater/plays"/>
    <n v="101"/>
    <n v="36.47"/>
    <x v="1"/>
    <x v="6"/>
    <x v="2798"/>
    <d v="2015-07-31T16:00:00"/>
    <x v="573"/>
    <x v="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x v="0"/>
    <n v="130"/>
    <x v="0"/>
    <s v="theater/plays"/>
    <n v="117"/>
    <n v="44.86"/>
    <x v="1"/>
    <x v="6"/>
    <x v="2799"/>
    <d v="2016-06-17T16:00:00"/>
    <x v="247"/>
    <x v="2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x v="0"/>
    <n v="31"/>
    <x v="0"/>
    <s v="theater/plays"/>
    <n v="133"/>
    <n v="42.9"/>
    <x v="1"/>
    <x v="6"/>
    <x v="2800"/>
    <d v="2015-01-04T13:16:06"/>
    <x v="14"/>
    <x v="3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x v="2801"/>
    <x v="0"/>
    <n v="13"/>
    <x v="0"/>
    <s v="theater/plays"/>
    <n v="133"/>
    <n v="51.23"/>
    <x v="1"/>
    <x v="6"/>
    <x v="2801"/>
    <d v="2014-10-10T11:00:00"/>
    <x v="780"/>
    <x v="3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x v="0"/>
    <n v="90"/>
    <x v="0"/>
    <s v="theater/plays"/>
    <n v="102"/>
    <n v="33.94"/>
    <x v="1"/>
    <x v="6"/>
    <x v="2802"/>
    <d v="2015-08-06T15:31:47"/>
    <x v="1"/>
    <x v="0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x v="0"/>
    <n v="141"/>
    <x v="0"/>
    <s v="theater/plays"/>
    <n v="128"/>
    <n v="90.74"/>
    <x v="1"/>
    <x v="6"/>
    <x v="2803"/>
    <d v="2015-07-16T00:00:00"/>
    <x v="781"/>
    <x v="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x v="0"/>
    <n v="23"/>
    <x v="0"/>
    <s v="theater/plays"/>
    <n v="115"/>
    <n v="50"/>
    <x v="1"/>
    <x v="6"/>
    <x v="2804"/>
    <d v="2014-09-29T10:53:10"/>
    <x v="1"/>
    <x v="3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x v="0"/>
    <n v="18"/>
    <x v="0"/>
    <s v="theater/plays"/>
    <n v="110"/>
    <n v="24.44"/>
    <x v="1"/>
    <x v="6"/>
    <x v="2805"/>
    <d v="2015-08-22T12:07:53"/>
    <x v="36"/>
    <x v="0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x v="0"/>
    <n v="76"/>
    <x v="0"/>
    <s v="theater/plays"/>
    <n v="112"/>
    <n v="44.25"/>
    <x v="1"/>
    <x v="6"/>
    <x v="2806"/>
    <d v="2015-08-05T11:00:00"/>
    <x v="782"/>
    <x v="0"/>
  </r>
  <r>
    <x v="2807"/>
    <s v="The Commission Theatre Co."/>
    <s v="Bringing Shakespeare back to the Playwrights"/>
    <x v="10"/>
    <x v="540"/>
    <x v="0"/>
    <x v="0"/>
    <s v="USD"/>
    <n v="1435611438"/>
    <x v="2807"/>
    <x v="0"/>
    <n v="93"/>
    <x v="0"/>
    <s v="theater/plays"/>
    <n v="126"/>
    <n v="67.739999999999995"/>
    <x v="1"/>
    <x v="6"/>
    <x v="2807"/>
    <d v="2015-06-29T20:57:18"/>
    <x v="1"/>
    <x v="0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x v="0"/>
    <n v="69"/>
    <x v="0"/>
    <s v="theater/plays"/>
    <n v="100"/>
    <n v="65.38"/>
    <x v="1"/>
    <x v="6"/>
    <x v="2808"/>
    <d v="2015-08-22T20:18:55"/>
    <x v="1"/>
    <x v="0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x v="0"/>
    <n v="21"/>
    <x v="0"/>
    <s v="theater/plays"/>
    <n v="102"/>
    <n v="121.9"/>
    <x v="1"/>
    <x v="6"/>
    <x v="2809"/>
    <d v="2016-03-30T14:39:00"/>
    <x v="783"/>
    <x v="2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x v="0"/>
    <n v="57"/>
    <x v="0"/>
    <s v="theater/plays"/>
    <n v="108"/>
    <n v="47.46"/>
    <x v="1"/>
    <x v="6"/>
    <x v="2810"/>
    <d v="2014-06-01T03:59:00"/>
    <x v="183"/>
    <x v="3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x v="0"/>
    <n v="108"/>
    <x v="0"/>
    <s v="theater/plays"/>
    <n v="100"/>
    <n v="92.84"/>
    <x v="1"/>
    <x v="6"/>
    <x v="2811"/>
    <d v="2015-02-23T11:55:03"/>
    <x v="1"/>
    <x v="0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x v="0"/>
    <n v="83"/>
    <x v="0"/>
    <s v="theater/plays"/>
    <n v="113"/>
    <n v="68.25"/>
    <x v="1"/>
    <x v="6"/>
    <x v="2812"/>
    <d v="2015-04-06T04:00:00"/>
    <x v="612"/>
    <x v="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x v="0"/>
    <n v="96"/>
    <x v="0"/>
    <s v="theater/plays"/>
    <n v="128"/>
    <n v="37.21"/>
    <x v="1"/>
    <x v="6"/>
    <x v="2813"/>
    <d v="2016-12-14T17:49:21"/>
    <x v="36"/>
    <x v="2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x v="0"/>
    <n v="64"/>
    <x v="0"/>
    <s v="theater/plays"/>
    <n v="108"/>
    <n v="25.25"/>
    <x v="1"/>
    <x v="6"/>
    <x v="2814"/>
    <d v="2015-05-09T09:35:15"/>
    <x v="1"/>
    <x v="0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x v="0"/>
    <n v="14"/>
    <x v="0"/>
    <s v="theater/plays"/>
    <n v="242"/>
    <n v="43.21"/>
    <x v="1"/>
    <x v="6"/>
    <x v="2815"/>
    <d v="2016-08-07T18:38:29"/>
    <x v="1"/>
    <x v="2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x v="0"/>
    <n v="169"/>
    <x v="0"/>
    <s v="theater/plays"/>
    <n v="142"/>
    <n v="25.13"/>
    <x v="1"/>
    <x v="6"/>
    <x v="2816"/>
    <d v="2015-08-02T16:00:00"/>
    <x v="784"/>
    <x v="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x v="0"/>
    <n v="33"/>
    <x v="0"/>
    <s v="theater/plays"/>
    <n v="130"/>
    <n v="23.64"/>
    <x v="1"/>
    <x v="6"/>
    <x v="2817"/>
    <d v="2015-02-28T15:14:22"/>
    <x v="4"/>
    <x v="0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x v="0"/>
    <n v="102"/>
    <x v="0"/>
    <s v="theater/plays"/>
    <n v="106"/>
    <n v="103.95"/>
    <x v="1"/>
    <x v="6"/>
    <x v="2818"/>
    <d v="2015-09-23T14:21:26"/>
    <x v="51"/>
    <x v="0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x v="0"/>
    <n v="104"/>
    <x v="0"/>
    <s v="theater/plays"/>
    <n v="105"/>
    <n v="50.38"/>
    <x v="1"/>
    <x v="6"/>
    <x v="2819"/>
    <d v="2015-06-14T12:36:49"/>
    <x v="1"/>
    <x v="0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x v="0"/>
    <n v="20"/>
    <x v="0"/>
    <s v="theater/plays"/>
    <n v="136"/>
    <n v="13.6"/>
    <x v="1"/>
    <x v="6"/>
    <x v="2820"/>
    <d v="2016-02-26T00:00:00"/>
    <x v="785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x v="0"/>
    <n v="35"/>
    <x v="0"/>
    <s v="theater/plays"/>
    <n v="100"/>
    <n v="28.57"/>
    <x v="1"/>
    <x v="6"/>
    <x v="2821"/>
    <d v="2014-09-23T22:08:55"/>
    <x v="1"/>
    <x v="3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x v="0"/>
    <n v="94"/>
    <x v="0"/>
    <s v="theater/plays"/>
    <n v="100"/>
    <n v="63.83"/>
    <x v="1"/>
    <x v="6"/>
    <x v="2822"/>
    <d v="2015-03-27T15:24:52"/>
    <x v="2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x v="0"/>
    <n v="14"/>
    <x v="0"/>
    <s v="theater/plays"/>
    <n v="124"/>
    <n v="8.86"/>
    <x v="1"/>
    <x v="6"/>
    <x v="2823"/>
    <d v="2015-03-31T22:59:00"/>
    <x v="786"/>
    <x v="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x v="0"/>
    <n v="15"/>
    <x v="0"/>
    <s v="theater/plays"/>
    <n v="117"/>
    <n v="50.67"/>
    <x v="1"/>
    <x v="6"/>
    <x v="2824"/>
    <d v="2015-06-13T01:43:00"/>
    <x v="787"/>
    <x v="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x v="0"/>
    <n v="51"/>
    <x v="0"/>
    <s v="theater/plays"/>
    <n v="103"/>
    <n v="60.78"/>
    <x v="1"/>
    <x v="6"/>
    <x v="2825"/>
    <d v="2015-12-04T19:01:26"/>
    <x v="1"/>
    <x v="0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x v="0"/>
    <n v="19"/>
    <x v="0"/>
    <s v="theater/plays"/>
    <n v="108"/>
    <n v="113.42"/>
    <x v="1"/>
    <x v="6"/>
    <x v="2826"/>
    <d v="2015-07-10T07:00:00"/>
    <x v="788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x v="0"/>
    <n v="23"/>
    <x v="0"/>
    <s v="theater/plays"/>
    <n v="120"/>
    <n v="104.57"/>
    <x v="1"/>
    <x v="6"/>
    <x v="2827"/>
    <d v="2016-06-03T16:30:00"/>
    <x v="1"/>
    <x v="2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x v="0"/>
    <n v="97"/>
    <x v="0"/>
    <s v="theater/plays"/>
    <n v="100"/>
    <n v="98.31"/>
    <x v="1"/>
    <x v="6"/>
    <x v="2828"/>
    <d v="2015-10-02T23:00:00"/>
    <x v="789"/>
    <x v="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x v="0"/>
    <n v="76"/>
    <x v="0"/>
    <s v="theater/plays"/>
    <n v="107"/>
    <n v="35.04"/>
    <x v="1"/>
    <x v="6"/>
    <x v="2829"/>
    <d v="2016-06-02T10:25:18"/>
    <x v="240"/>
    <x v="2"/>
  </r>
  <r>
    <x v="2830"/>
    <s v="Nakhtik and Avalon"/>
    <s v="Avalon is a new South African Township play and Nakhtik is a  danced political lecture."/>
    <x v="9"/>
    <x v="142"/>
    <x v="0"/>
    <x v="0"/>
    <s v="USD"/>
    <n v="1399867140"/>
    <x v="2830"/>
    <x v="0"/>
    <n v="11"/>
    <x v="0"/>
    <s v="theater/plays"/>
    <n v="100"/>
    <n v="272.73"/>
    <x v="1"/>
    <x v="6"/>
    <x v="2830"/>
    <d v="2014-05-12T03:59:00"/>
    <x v="790"/>
    <x v="3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x v="0"/>
    <n v="52"/>
    <x v="0"/>
    <s v="theater/plays"/>
    <n v="111"/>
    <n v="63.85"/>
    <x v="1"/>
    <x v="6"/>
    <x v="2831"/>
    <d v="2015-07-16T19:47:50"/>
    <x v="1"/>
    <x v="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x v="0"/>
    <n v="95"/>
    <x v="0"/>
    <s v="theater/plays"/>
    <n v="115"/>
    <n v="30.19"/>
    <x v="1"/>
    <x v="6"/>
    <x v="2832"/>
    <d v="2014-11-23T22:00:00"/>
    <x v="791"/>
    <x v="3"/>
  </r>
  <r>
    <x v="2833"/>
    <s v="Star Man Rocket Man"/>
    <s v="A new play about exploring outer space"/>
    <x v="200"/>
    <x v="1920"/>
    <x v="0"/>
    <x v="0"/>
    <s v="USD"/>
    <n v="1444528800"/>
    <x v="2833"/>
    <x v="0"/>
    <n v="35"/>
    <x v="0"/>
    <s v="theater/plays"/>
    <n v="108"/>
    <n v="83.51"/>
    <x v="1"/>
    <x v="6"/>
    <x v="2833"/>
    <d v="2015-10-11T02:00:00"/>
    <x v="138"/>
    <x v="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x v="0"/>
    <n v="21"/>
    <x v="0"/>
    <s v="theater/plays"/>
    <n v="170"/>
    <n v="64.760000000000005"/>
    <x v="1"/>
    <x v="6"/>
    <x v="2834"/>
    <d v="2015-01-30T23:02:10"/>
    <x v="20"/>
    <x v="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x v="0"/>
    <n v="93"/>
    <x v="0"/>
    <s v="theater/plays"/>
    <n v="187"/>
    <n v="20.12"/>
    <x v="1"/>
    <x v="6"/>
    <x v="2835"/>
    <d v="2015-12-05T00:00:00"/>
    <x v="792"/>
    <x v="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x v="0"/>
    <n v="11"/>
    <x v="0"/>
    <s v="theater/plays"/>
    <n v="108"/>
    <n v="44.09"/>
    <x v="1"/>
    <x v="6"/>
    <x v="2836"/>
    <d v="2017-02-18T04:59:00"/>
    <x v="793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x v="0"/>
    <n v="21"/>
    <x v="0"/>
    <s v="theater/plays"/>
    <n v="100"/>
    <n v="40.479999999999997"/>
    <x v="1"/>
    <x v="6"/>
    <x v="2837"/>
    <d v="2015-12-09T22:48:04"/>
    <x v="182"/>
    <x v="0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x v="0"/>
    <n v="54"/>
    <x v="0"/>
    <s v="theater/plays"/>
    <n v="120"/>
    <n v="44.54"/>
    <x v="1"/>
    <x v="6"/>
    <x v="2838"/>
    <d v="2014-08-13T22:00:00"/>
    <x v="302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x v="0"/>
    <n v="31"/>
    <x v="0"/>
    <s v="theater/plays"/>
    <n v="111"/>
    <n v="125.81"/>
    <x v="1"/>
    <x v="6"/>
    <x v="2839"/>
    <d v="2014-08-25T04:59:00"/>
    <x v="794"/>
    <x v="3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x v="0"/>
    <n v="132"/>
    <x v="0"/>
    <s v="theater/plays"/>
    <n v="104"/>
    <n v="19.7"/>
    <x v="1"/>
    <x v="6"/>
    <x v="2840"/>
    <d v="2015-03-18T17:00:00"/>
    <x v="795"/>
    <x v="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x v="0"/>
    <n v="1"/>
    <x v="1"/>
    <s v="theater/plays"/>
    <n v="1"/>
    <n v="10"/>
    <x v="1"/>
    <x v="6"/>
    <x v="2841"/>
    <d v="2015-12-13T18:44:57"/>
    <x v="27"/>
    <x v="0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x v="0"/>
    <n v="0"/>
    <x v="1"/>
    <s v="theater/plays"/>
    <n v="0"/>
    <n v="0"/>
    <x v="1"/>
    <x v="6"/>
    <x v="2842"/>
    <d v="2014-06-21T11:00:00"/>
    <x v="796"/>
    <x v="3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x v="0"/>
    <n v="0"/>
    <x v="1"/>
    <s v="theater/plays"/>
    <n v="0"/>
    <n v="0"/>
    <x v="1"/>
    <x v="6"/>
    <x v="2843"/>
    <d v="2016-06-13T04:00:00"/>
    <x v="797"/>
    <x v="2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x v="0"/>
    <n v="1"/>
    <x v="1"/>
    <s v="theater/plays"/>
    <n v="5"/>
    <n v="30"/>
    <x v="1"/>
    <x v="6"/>
    <x v="2844"/>
    <d v="2017-01-04T13:06:20"/>
    <x v="1"/>
    <x v="2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x v="0"/>
    <n v="39"/>
    <x v="1"/>
    <s v="theater/plays"/>
    <n v="32"/>
    <n v="60.67"/>
    <x v="1"/>
    <x v="6"/>
    <x v="2845"/>
    <d v="2015-06-08T00:23:53"/>
    <x v="14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x v="0"/>
    <n v="0"/>
    <x v="1"/>
    <s v="theater/plays"/>
    <n v="0"/>
    <n v="0"/>
    <x v="1"/>
    <x v="6"/>
    <x v="2846"/>
    <d v="2015-05-29T16:36:34"/>
    <x v="26"/>
    <x v="0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x v="0"/>
    <n v="0"/>
    <x v="1"/>
    <s v="theater/plays"/>
    <n v="0"/>
    <n v="0"/>
    <x v="1"/>
    <x v="6"/>
    <x v="2847"/>
    <d v="2016-05-23T19:21:05"/>
    <x v="14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x v="0"/>
    <n v="3"/>
    <x v="1"/>
    <s v="theater/plays"/>
    <n v="0"/>
    <n v="23.33"/>
    <x v="1"/>
    <x v="6"/>
    <x v="2848"/>
    <d v="2015-05-29T15:34:19"/>
    <x v="1"/>
    <x v="0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x v="0"/>
    <n v="1"/>
    <x v="1"/>
    <s v="theater/plays"/>
    <n v="1"/>
    <n v="5"/>
    <x v="1"/>
    <x v="6"/>
    <x v="2849"/>
    <d v="2016-04-23T10:16:40"/>
    <x v="1"/>
    <x v="2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x v="0"/>
    <n v="13"/>
    <x v="1"/>
    <s v="theater/plays"/>
    <n v="4"/>
    <n v="23.92"/>
    <x v="1"/>
    <x v="6"/>
    <x v="2850"/>
    <d v="2014-09-06T00:10:11"/>
    <x v="1"/>
    <x v="3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x v="0"/>
    <n v="0"/>
    <x v="1"/>
    <s v="theater/plays"/>
    <n v="0"/>
    <n v="0"/>
    <x v="1"/>
    <x v="6"/>
    <x v="2851"/>
    <d v="2016-01-29T23:17:00"/>
    <x v="798"/>
    <x v="2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x v="0"/>
    <n v="6"/>
    <x v="1"/>
    <s v="theater/plays"/>
    <n v="2"/>
    <n v="15.83"/>
    <x v="1"/>
    <x v="6"/>
    <x v="2852"/>
    <d v="2014-06-21T01:05:03"/>
    <x v="1"/>
    <x v="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x v="0"/>
    <n v="0"/>
    <x v="1"/>
    <s v="theater/plays"/>
    <n v="0"/>
    <n v="0"/>
    <x v="1"/>
    <x v="6"/>
    <x v="2853"/>
    <d v="2014-09-14T04:34:57"/>
    <x v="14"/>
    <x v="3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x v="0"/>
    <n v="14"/>
    <x v="1"/>
    <s v="theater/plays"/>
    <n v="42"/>
    <n v="29.79"/>
    <x v="1"/>
    <x v="6"/>
    <x v="2854"/>
    <d v="2015-05-07T17:11:59"/>
    <x v="51"/>
    <x v="0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x v="0"/>
    <n v="5"/>
    <x v="1"/>
    <s v="theater/plays"/>
    <n v="50"/>
    <n v="60"/>
    <x v="1"/>
    <x v="6"/>
    <x v="2855"/>
    <d v="2016-01-29T23:34:00"/>
    <x v="799"/>
    <x v="2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x v="0"/>
    <n v="6"/>
    <x v="1"/>
    <s v="theater/plays"/>
    <n v="5"/>
    <n v="24.33"/>
    <x v="1"/>
    <x v="6"/>
    <x v="2856"/>
    <d v="2015-08-08T21:34:00"/>
    <x v="800"/>
    <x v="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x v="0"/>
    <n v="15"/>
    <x v="1"/>
    <s v="theater/plays"/>
    <n v="20"/>
    <n v="500"/>
    <x v="1"/>
    <x v="6"/>
    <x v="2857"/>
    <d v="2017-02-20T18:00:00"/>
    <x v="801"/>
    <x v="2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x v="0"/>
    <n v="0"/>
    <x v="1"/>
    <s v="theater/plays"/>
    <n v="0"/>
    <n v="0"/>
    <x v="1"/>
    <x v="6"/>
    <x v="2858"/>
    <d v="2014-12-05T11:28:00"/>
    <x v="802"/>
    <x v="3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x v="0"/>
    <n v="1"/>
    <x v="1"/>
    <s v="theater/plays"/>
    <n v="2"/>
    <n v="35"/>
    <x v="1"/>
    <x v="6"/>
    <x v="2859"/>
    <d v="2015-10-16T08:41:44"/>
    <x v="14"/>
    <x v="0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x v="0"/>
    <n v="9"/>
    <x v="1"/>
    <s v="theater/plays"/>
    <n v="7"/>
    <n v="29.56"/>
    <x v="1"/>
    <x v="6"/>
    <x v="2860"/>
    <d v="2016-06-19T19:12:56"/>
    <x v="14"/>
    <x v="2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x v="0"/>
    <n v="3"/>
    <x v="1"/>
    <s v="theater/plays"/>
    <n v="32"/>
    <n v="26.67"/>
    <x v="1"/>
    <x v="6"/>
    <x v="2861"/>
    <d v="2015-09-24T14:10:48"/>
    <x v="59"/>
    <x v="0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x v="0"/>
    <n v="3"/>
    <x v="1"/>
    <s v="theater/plays"/>
    <n v="0"/>
    <n v="18.329999999999998"/>
    <x v="1"/>
    <x v="6"/>
    <x v="2862"/>
    <d v="2014-06-24T18:57:09"/>
    <x v="1"/>
    <x v="3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x v="0"/>
    <n v="1"/>
    <x v="1"/>
    <s v="theater/plays"/>
    <n v="0"/>
    <n v="20"/>
    <x v="1"/>
    <x v="6"/>
    <x v="2863"/>
    <d v="2014-09-09T16:12:03"/>
    <x v="14"/>
    <x v="3"/>
  </r>
  <r>
    <x v="2864"/>
    <s v="'Haunting Julia' by Alan Ayckbourn"/>
    <s v="Accessible, original theatre for all!"/>
    <x v="30"/>
    <x v="130"/>
    <x v="2"/>
    <x v="1"/>
    <s v="GBP"/>
    <n v="1437139080"/>
    <x v="2864"/>
    <x v="0"/>
    <n v="3"/>
    <x v="1"/>
    <s v="theater/plays"/>
    <n v="2"/>
    <n v="13.33"/>
    <x v="1"/>
    <x v="6"/>
    <x v="2864"/>
    <d v="2015-07-17T13:18:00"/>
    <x v="803"/>
    <x v="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x v="0"/>
    <n v="0"/>
    <x v="1"/>
    <s v="theater/plays"/>
    <n v="0"/>
    <n v="0"/>
    <x v="1"/>
    <x v="6"/>
    <x v="2865"/>
    <d v="2015-01-06T02:44:19"/>
    <x v="14"/>
    <x v="3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x v="0"/>
    <n v="2"/>
    <x v="1"/>
    <s v="theater/plays"/>
    <n v="1"/>
    <n v="22.5"/>
    <x v="1"/>
    <x v="6"/>
    <x v="2866"/>
    <d v="2016-10-14T22:00:00"/>
    <x v="22"/>
    <x v="2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x v="0"/>
    <n v="10"/>
    <x v="1"/>
    <s v="theater/plays"/>
    <n v="20"/>
    <n v="50.4"/>
    <x v="1"/>
    <x v="6"/>
    <x v="2867"/>
    <d v="2016-07-04T04:00:00"/>
    <x v="804"/>
    <x v="2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x v="0"/>
    <n v="60"/>
    <x v="1"/>
    <s v="theater/plays"/>
    <n v="42"/>
    <n v="105.03"/>
    <x v="1"/>
    <x v="6"/>
    <x v="2868"/>
    <d v="2016-10-05T19:50:54"/>
    <x v="1"/>
    <x v="2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x v="0"/>
    <n v="5"/>
    <x v="1"/>
    <s v="theater/plays"/>
    <n v="1"/>
    <n v="35.4"/>
    <x v="1"/>
    <x v="6"/>
    <x v="2869"/>
    <d v="2016-07-19T14:14:41"/>
    <x v="1"/>
    <x v="2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x v="0"/>
    <n v="9"/>
    <x v="1"/>
    <s v="theater/plays"/>
    <n v="15"/>
    <n v="83.33"/>
    <x v="1"/>
    <x v="6"/>
    <x v="2870"/>
    <d v="2014-05-17T04:32:45"/>
    <x v="1"/>
    <x v="3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x v="0"/>
    <n v="13"/>
    <x v="1"/>
    <s v="theater/plays"/>
    <n v="5"/>
    <n v="35.92"/>
    <x v="1"/>
    <x v="6"/>
    <x v="2871"/>
    <d v="2014-12-21T17:43:33"/>
    <x v="51"/>
    <x v="3"/>
  </r>
  <r>
    <x v="2872"/>
    <s v="Loud Arts"/>
    <s v="Local Theatre group in Loudoun County, Virginia. Looking for funds to start producing shows!"/>
    <x v="9"/>
    <x v="117"/>
    <x v="2"/>
    <x v="0"/>
    <s v="USD"/>
    <n v="1434768438"/>
    <x v="2872"/>
    <x v="0"/>
    <n v="0"/>
    <x v="1"/>
    <s v="theater/plays"/>
    <n v="0"/>
    <n v="0"/>
    <x v="1"/>
    <x v="6"/>
    <x v="2872"/>
    <d v="2015-06-20T02:47:18"/>
    <x v="14"/>
    <x v="0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x v="0"/>
    <n v="8"/>
    <x v="1"/>
    <s v="theater/plays"/>
    <n v="38"/>
    <n v="119.13"/>
    <x v="1"/>
    <x v="6"/>
    <x v="2873"/>
    <d v="2015-01-28T19:37:11"/>
    <x v="1"/>
    <x v="3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x v="0"/>
    <n v="3"/>
    <x v="1"/>
    <s v="theater/plays"/>
    <n v="5"/>
    <n v="90.33"/>
    <x v="1"/>
    <x v="6"/>
    <x v="2874"/>
    <d v="2017-01-17T20:16:26"/>
    <x v="1"/>
    <x v="2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x v="0"/>
    <n v="3"/>
    <x v="1"/>
    <s v="theater/plays"/>
    <n v="0"/>
    <n v="2.33"/>
    <x v="1"/>
    <x v="6"/>
    <x v="2875"/>
    <d v="2016-05-05T03:04:53"/>
    <x v="1"/>
    <x v="2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x v="0"/>
    <n v="0"/>
    <x v="1"/>
    <s v="theater/plays"/>
    <n v="0"/>
    <n v="0"/>
    <x v="1"/>
    <x v="6"/>
    <x v="2876"/>
    <d v="2015-07-16T17:51:19"/>
    <x v="1"/>
    <x v="0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x v="0"/>
    <n v="6"/>
    <x v="1"/>
    <s v="theater/plays"/>
    <n v="11"/>
    <n v="108.33"/>
    <x v="1"/>
    <x v="6"/>
    <x v="2877"/>
    <d v="2016-11-30T17:00:00"/>
    <x v="805"/>
    <x v="2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x v="0"/>
    <n v="4"/>
    <x v="1"/>
    <s v="theater/plays"/>
    <n v="2"/>
    <n v="15.75"/>
    <x v="1"/>
    <x v="6"/>
    <x v="2878"/>
    <d v="2015-07-03T14:46:35"/>
    <x v="14"/>
    <x v="0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x v="0"/>
    <n v="1"/>
    <x v="1"/>
    <s v="theater/plays"/>
    <n v="0"/>
    <n v="29"/>
    <x v="1"/>
    <x v="6"/>
    <x v="2879"/>
    <d v="2016-01-20T17:24:21"/>
    <x v="1"/>
    <x v="0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x v="0"/>
    <n v="29"/>
    <x v="1"/>
    <s v="theater/plays"/>
    <n v="23"/>
    <n v="96.55"/>
    <x v="1"/>
    <x v="6"/>
    <x v="2880"/>
    <d v="2015-08-20T17:05:00"/>
    <x v="32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x v="0"/>
    <n v="0"/>
    <x v="1"/>
    <s v="theater/plays"/>
    <n v="0"/>
    <n v="0"/>
    <x v="1"/>
    <x v="6"/>
    <x v="2881"/>
    <d v="2014-12-03T15:20:36"/>
    <x v="27"/>
    <x v="3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x v="0"/>
    <n v="4"/>
    <x v="1"/>
    <s v="theater/plays"/>
    <n v="34"/>
    <n v="63"/>
    <x v="1"/>
    <x v="6"/>
    <x v="2882"/>
    <d v="2016-05-01T14:18:38"/>
    <x v="1"/>
    <x v="2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x v="0"/>
    <n v="5"/>
    <x v="1"/>
    <s v="theater/plays"/>
    <n v="19"/>
    <n v="381.6"/>
    <x v="1"/>
    <x v="6"/>
    <x v="2883"/>
    <d v="2016-02-06T04:59:00"/>
    <x v="563"/>
    <x v="2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x v="0"/>
    <n v="4"/>
    <x v="1"/>
    <s v="theater/plays"/>
    <n v="0"/>
    <n v="46.25"/>
    <x v="1"/>
    <x v="6"/>
    <x v="2884"/>
    <d v="2014-12-05T17:27:15"/>
    <x v="1"/>
    <x v="3"/>
  </r>
  <r>
    <x v="2885"/>
    <s v="The Wedding"/>
    <s v="An historic and proud work of Polish nationalistic literature performed on stage."/>
    <x v="44"/>
    <x v="176"/>
    <x v="2"/>
    <x v="0"/>
    <s v="USD"/>
    <n v="1426294201"/>
    <x v="2885"/>
    <x v="0"/>
    <n v="5"/>
    <x v="1"/>
    <s v="theater/plays"/>
    <n v="33"/>
    <n v="26"/>
    <x v="1"/>
    <x v="6"/>
    <x v="2885"/>
    <d v="2015-03-14T00:50:01"/>
    <x v="22"/>
    <x v="0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x v="0"/>
    <n v="1"/>
    <x v="1"/>
    <s v="theater/plays"/>
    <n v="5"/>
    <n v="10"/>
    <x v="1"/>
    <x v="6"/>
    <x v="2886"/>
    <d v="2015-09-19T03:59:00"/>
    <x v="806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x v="0"/>
    <n v="1"/>
    <x v="1"/>
    <s v="theater/plays"/>
    <n v="0"/>
    <n v="5"/>
    <x v="1"/>
    <x v="6"/>
    <x v="2887"/>
    <d v="2015-01-11T10:15:24"/>
    <x v="1"/>
    <x v="3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x v="0"/>
    <n v="0"/>
    <x v="1"/>
    <s v="theater/plays"/>
    <n v="0"/>
    <n v="0"/>
    <x v="1"/>
    <x v="6"/>
    <x v="2888"/>
    <d v="2014-10-18T04:59:00"/>
    <x v="807"/>
    <x v="3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x v="0"/>
    <n v="14"/>
    <x v="1"/>
    <s v="theater/plays"/>
    <n v="38"/>
    <n v="81.569999999999993"/>
    <x v="1"/>
    <x v="6"/>
    <x v="2889"/>
    <d v="2014-08-29T20:43:05"/>
    <x v="1"/>
    <x v="3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x v="0"/>
    <n v="3"/>
    <x v="1"/>
    <s v="theater/plays"/>
    <n v="1"/>
    <n v="7"/>
    <x v="1"/>
    <x v="6"/>
    <x v="2890"/>
    <d v="2014-08-09T03:00:00"/>
    <x v="808"/>
    <x v="3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x v="0"/>
    <n v="10"/>
    <x v="1"/>
    <s v="theater/plays"/>
    <n v="3"/>
    <n v="27.3"/>
    <x v="1"/>
    <x v="6"/>
    <x v="2891"/>
    <d v="2016-04-15T20:12:08"/>
    <x v="80"/>
    <x v="2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x v="0"/>
    <n v="17"/>
    <x v="1"/>
    <s v="theater/plays"/>
    <n v="9"/>
    <n v="29.41"/>
    <x v="1"/>
    <x v="6"/>
    <x v="2892"/>
    <d v="2014-08-25T21:00:00"/>
    <x v="809"/>
    <x v="3"/>
  </r>
  <r>
    <x v="2893"/>
    <s v="REDISCOVERING KIA THE PLAY"/>
    <s v="Fundraising for REDISCOVERING KIA THE PLAY"/>
    <x v="10"/>
    <x v="379"/>
    <x v="2"/>
    <x v="0"/>
    <s v="USD"/>
    <n v="1420768800"/>
    <x v="2893"/>
    <x v="0"/>
    <n v="2"/>
    <x v="1"/>
    <s v="theater/plays"/>
    <n v="1"/>
    <n v="12.5"/>
    <x v="1"/>
    <x v="6"/>
    <x v="2893"/>
    <d v="2015-01-09T02:00:00"/>
    <x v="810"/>
    <x v="3"/>
  </r>
  <r>
    <x v="2894"/>
    <s v="How Could You Do This To Me (The Stage Play)"/>
    <s v="This Is A Story About A Woman A Man And A Woman"/>
    <x v="63"/>
    <x v="117"/>
    <x v="2"/>
    <x v="0"/>
    <s v="USD"/>
    <n v="1428100815"/>
    <x v="2894"/>
    <x v="0"/>
    <n v="0"/>
    <x v="1"/>
    <s v="theater/plays"/>
    <n v="0"/>
    <n v="0"/>
    <x v="1"/>
    <x v="6"/>
    <x v="2894"/>
    <d v="2015-04-03T22:40:15"/>
    <x v="80"/>
    <x v="0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x v="0"/>
    <n v="4"/>
    <x v="1"/>
    <s v="theater/plays"/>
    <n v="5"/>
    <n v="5.75"/>
    <x v="1"/>
    <x v="6"/>
    <x v="2895"/>
    <d v="2014-06-22T21:00:00"/>
    <x v="811"/>
    <x v="3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x v="0"/>
    <n v="12"/>
    <x v="1"/>
    <s v="theater/plays"/>
    <n v="21"/>
    <n v="52.08"/>
    <x v="1"/>
    <x v="6"/>
    <x v="2896"/>
    <d v="2016-12-12T06:00:00"/>
    <x v="812"/>
    <x v="2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x v="0"/>
    <n v="3"/>
    <x v="1"/>
    <s v="theater/plays"/>
    <n v="5"/>
    <n v="183.33"/>
    <x v="1"/>
    <x v="6"/>
    <x v="2897"/>
    <d v="2015-10-11T15:29:05"/>
    <x v="1"/>
    <x v="0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x v="0"/>
    <n v="12"/>
    <x v="1"/>
    <s v="theater/plays"/>
    <n v="4"/>
    <n v="26.33"/>
    <x v="1"/>
    <x v="6"/>
    <x v="2898"/>
    <d v="2015-10-31T15:57:33"/>
    <x v="1"/>
    <x v="0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x v="0"/>
    <n v="0"/>
    <x v="1"/>
    <s v="theater/plays"/>
    <n v="0"/>
    <n v="0"/>
    <x v="1"/>
    <x v="6"/>
    <x v="2899"/>
    <d v="2016-07-24T01:52:38"/>
    <x v="14"/>
    <x v="2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x v="0"/>
    <n v="7"/>
    <x v="1"/>
    <s v="theater/plays"/>
    <n v="62"/>
    <n v="486.43"/>
    <x v="1"/>
    <x v="6"/>
    <x v="2900"/>
    <d v="2014-08-09T05:37:12"/>
    <x v="1"/>
    <x v="3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x v="0"/>
    <n v="2"/>
    <x v="1"/>
    <s v="theater/plays"/>
    <n v="1"/>
    <n v="3"/>
    <x v="1"/>
    <x v="6"/>
    <x v="2901"/>
    <d v="2015-02-07T21:42:19"/>
    <x v="14"/>
    <x v="3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x v="0"/>
    <n v="1"/>
    <x v="1"/>
    <s v="theater/plays"/>
    <n v="0"/>
    <n v="25"/>
    <x v="1"/>
    <x v="6"/>
    <x v="2902"/>
    <d v="2015-08-24T10:33:16"/>
    <x v="1"/>
    <x v="0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x v="0"/>
    <n v="4"/>
    <x v="1"/>
    <s v="theater/plays"/>
    <n v="1"/>
    <n v="9.75"/>
    <x v="1"/>
    <x v="6"/>
    <x v="2903"/>
    <d v="2015-09-09T04:00:18"/>
    <x v="14"/>
    <x v="0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x v="0"/>
    <n v="4"/>
    <x v="1"/>
    <s v="theater/plays"/>
    <n v="5"/>
    <n v="18.75"/>
    <x v="1"/>
    <x v="6"/>
    <x v="2904"/>
    <d v="2014-11-09T12:00:00"/>
    <x v="813"/>
    <x v="3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x v="0"/>
    <n v="17"/>
    <x v="1"/>
    <s v="theater/plays"/>
    <n v="18"/>
    <n v="36.590000000000003"/>
    <x v="1"/>
    <x v="6"/>
    <x v="2905"/>
    <d v="2016-09-07T01:21:53"/>
    <x v="59"/>
    <x v="2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x v="0"/>
    <n v="7"/>
    <x v="1"/>
    <s v="theater/plays"/>
    <n v="9"/>
    <n v="80.709999999999994"/>
    <x v="1"/>
    <x v="6"/>
    <x v="2906"/>
    <d v="2015-08-01T01:00:00"/>
    <x v="259"/>
    <x v="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x v="0"/>
    <n v="2"/>
    <x v="1"/>
    <s v="theater/plays"/>
    <n v="0"/>
    <n v="1"/>
    <x v="1"/>
    <x v="6"/>
    <x v="2907"/>
    <d v="2016-05-14T21:03:57"/>
    <x v="14"/>
    <x v="2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x v="0"/>
    <n v="5"/>
    <x v="1"/>
    <s v="theater/plays"/>
    <n v="3"/>
    <n v="52.8"/>
    <x v="1"/>
    <x v="6"/>
    <x v="2908"/>
    <d v="2016-06-08T17:33:39"/>
    <x v="1"/>
    <x v="2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x v="0"/>
    <n v="1"/>
    <x v="1"/>
    <s v="theater/plays"/>
    <n v="0"/>
    <n v="20"/>
    <x v="1"/>
    <x v="6"/>
    <x v="2909"/>
    <d v="2014-11-25T19:46:00"/>
    <x v="814"/>
    <x v="3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x v="0"/>
    <n v="1"/>
    <x v="1"/>
    <s v="theater/plays"/>
    <n v="0"/>
    <n v="1"/>
    <x v="1"/>
    <x v="6"/>
    <x v="2910"/>
    <d v="2015-06-12T20:11:27"/>
    <x v="14"/>
    <x v="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x v="0"/>
    <n v="14"/>
    <x v="1"/>
    <s v="theater/plays"/>
    <n v="37"/>
    <n v="46.93"/>
    <x v="1"/>
    <x v="6"/>
    <x v="2911"/>
    <d v="2015-06-27T18:27:06"/>
    <x v="4"/>
    <x v="0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x v="0"/>
    <n v="26"/>
    <x v="1"/>
    <s v="theater/plays"/>
    <n v="14"/>
    <n v="78.08"/>
    <x v="1"/>
    <x v="6"/>
    <x v="2912"/>
    <d v="2016-01-15T03:09:34"/>
    <x v="1"/>
    <x v="0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x v="0"/>
    <n v="2"/>
    <x v="1"/>
    <s v="theater/plays"/>
    <n v="0"/>
    <n v="1"/>
    <x v="1"/>
    <x v="6"/>
    <x v="2913"/>
    <d v="2014-09-06T22:08:59"/>
    <x v="14"/>
    <x v="3"/>
  </r>
  <r>
    <x v="2914"/>
    <s v="Hercules the Panto"/>
    <s v="Hercules must complete four challenges in order to meet the father he never knew"/>
    <x v="31"/>
    <x v="116"/>
    <x v="2"/>
    <x v="1"/>
    <s v="GBP"/>
    <n v="1426365994"/>
    <x v="2914"/>
    <x v="0"/>
    <n v="1"/>
    <x v="1"/>
    <s v="theater/plays"/>
    <n v="0"/>
    <n v="1"/>
    <x v="1"/>
    <x v="6"/>
    <x v="2914"/>
    <d v="2015-03-14T20:46:34"/>
    <x v="80"/>
    <x v="0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x v="0"/>
    <n v="3"/>
    <x v="1"/>
    <s v="theater/plays"/>
    <n v="61"/>
    <n v="203.67"/>
    <x v="1"/>
    <x v="6"/>
    <x v="2915"/>
    <d v="2016-03-16T08:33:10"/>
    <x v="22"/>
    <x v="2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x v="0"/>
    <n v="7"/>
    <x v="1"/>
    <s v="theater/plays"/>
    <n v="8"/>
    <n v="20.71"/>
    <x v="1"/>
    <x v="6"/>
    <x v="2916"/>
    <d v="2014-05-19T11:26:29"/>
    <x v="56"/>
    <x v="3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x v="0"/>
    <n v="9"/>
    <x v="1"/>
    <s v="theater/plays"/>
    <n v="22"/>
    <n v="48.56"/>
    <x v="1"/>
    <x v="6"/>
    <x v="2917"/>
    <d v="2015-09-16T05:37:27"/>
    <x v="18"/>
    <x v="0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x v="0"/>
    <n v="20"/>
    <x v="1"/>
    <s v="theater/plays"/>
    <n v="27"/>
    <n v="68.099999999999994"/>
    <x v="1"/>
    <x v="6"/>
    <x v="2918"/>
    <d v="2015-10-29T15:06:47"/>
    <x v="240"/>
    <x v="0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x v="0"/>
    <n v="6"/>
    <x v="1"/>
    <s v="theater/plays"/>
    <n v="9"/>
    <n v="8.5"/>
    <x v="1"/>
    <x v="6"/>
    <x v="2919"/>
    <d v="2014-08-05T14:52:09"/>
    <x v="1"/>
    <x v="3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x v="0"/>
    <n v="13"/>
    <x v="1"/>
    <s v="theater/plays"/>
    <n v="27"/>
    <n v="51.62"/>
    <x v="1"/>
    <x v="6"/>
    <x v="2920"/>
    <d v="2015-03-25T18:01:10"/>
    <x v="22"/>
    <x v="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x v="0"/>
    <n v="3"/>
    <x v="0"/>
    <s v="theater/musical"/>
    <n v="129"/>
    <n v="43"/>
    <x v="1"/>
    <x v="40"/>
    <x v="2921"/>
    <d v="2014-09-25T21:16:44"/>
    <x v="1"/>
    <x v="3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x v="0"/>
    <n v="6"/>
    <x v="0"/>
    <s v="theater/musical"/>
    <n v="100"/>
    <n v="83.33"/>
    <x v="1"/>
    <x v="40"/>
    <x v="2922"/>
    <d v="2015-05-18T20:58:47"/>
    <x v="26"/>
    <x v="0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x v="0"/>
    <n v="10"/>
    <x v="0"/>
    <s v="theater/musical"/>
    <n v="100"/>
    <n v="30"/>
    <x v="1"/>
    <x v="40"/>
    <x v="2923"/>
    <d v="2015-01-24T03:00:00"/>
    <x v="815"/>
    <x v="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x v="0"/>
    <n v="147"/>
    <x v="0"/>
    <s v="theater/musical"/>
    <n v="103"/>
    <n v="175.51"/>
    <x v="1"/>
    <x v="40"/>
    <x v="2924"/>
    <d v="2015-05-09T03:59:00"/>
    <x v="816"/>
    <x v="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x v="0"/>
    <n v="199"/>
    <x v="0"/>
    <s v="theater/musical"/>
    <n v="102"/>
    <n v="231.66"/>
    <x v="1"/>
    <x v="40"/>
    <x v="2925"/>
    <d v="2014-09-11T14:01:08"/>
    <x v="1"/>
    <x v="3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x v="0"/>
    <n v="50"/>
    <x v="0"/>
    <s v="theater/musical"/>
    <n v="125"/>
    <n v="75"/>
    <x v="1"/>
    <x v="40"/>
    <x v="2926"/>
    <d v="2015-02-23T18:22:59"/>
    <x v="59"/>
    <x v="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x v="0"/>
    <n v="21"/>
    <x v="0"/>
    <s v="theater/musical"/>
    <n v="131"/>
    <n v="112.14"/>
    <x v="1"/>
    <x v="40"/>
    <x v="2927"/>
    <d v="2014-07-15T05:00:00"/>
    <x v="817"/>
    <x v="3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x v="0"/>
    <n v="24"/>
    <x v="0"/>
    <s v="theater/musical"/>
    <n v="100"/>
    <n v="41.67"/>
    <x v="1"/>
    <x v="40"/>
    <x v="2928"/>
    <d v="2016-03-04T23:57:26"/>
    <x v="1"/>
    <x v="2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x v="0"/>
    <n v="32"/>
    <x v="0"/>
    <s v="theater/musical"/>
    <n v="102"/>
    <n v="255.17"/>
    <x v="1"/>
    <x v="40"/>
    <x v="2929"/>
    <d v="2014-05-25T13:32:38"/>
    <x v="1"/>
    <x v="3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x v="0"/>
    <n v="62"/>
    <x v="0"/>
    <s v="theater/musical"/>
    <n v="101"/>
    <n v="162.77000000000001"/>
    <x v="1"/>
    <x v="40"/>
    <x v="2930"/>
    <d v="2015-05-07T14:01:04"/>
    <x v="1"/>
    <x v="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x v="0"/>
    <n v="9"/>
    <x v="0"/>
    <s v="theater/musical"/>
    <n v="106"/>
    <n v="88.33"/>
    <x v="1"/>
    <x v="40"/>
    <x v="2931"/>
    <d v="2014-09-15T06:08:00"/>
    <x v="191"/>
    <x v="3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x v="0"/>
    <n v="38"/>
    <x v="0"/>
    <s v="theater/musical"/>
    <n v="105"/>
    <n v="85.74"/>
    <x v="1"/>
    <x v="40"/>
    <x v="2932"/>
    <d v="2015-02-21T11:00:00"/>
    <x v="818"/>
    <x v="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x v="0"/>
    <n v="54"/>
    <x v="0"/>
    <s v="theater/musical"/>
    <n v="103"/>
    <n v="47.57"/>
    <x v="1"/>
    <x v="40"/>
    <x v="2933"/>
    <d v="2016-06-04T22:57:33"/>
    <x v="1"/>
    <x v="2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x v="0"/>
    <n v="37"/>
    <x v="0"/>
    <s v="theater/musical"/>
    <n v="108"/>
    <n v="72.97"/>
    <x v="1"/>
    <x v="40"/>
    <x v="2934"/>
    <d v="2014-06-15T15:16:04"/>
    <x v="1"/>
    <x v="3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x v="0"/>
    <n v="39"/>
    <x v="0"/>
    <s v="theater/musical"/>
    <n v="101"/>
    <n v="90.54"/>
    <x v="1"/>
    <x v="40"/>
    <x v="2935"/>
    <d v="2016-08-29T17:00:00"/>
    <x v="819"/>
    <x v="2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x v="0"/>
    <n v="34"/>
    <x v="0"/>
    <s v="theater/musical"/>
    <n v="128"/>
    <n v="37.65"/>
    <x v="1"/>
    <x v="40"/>
    <x v="2936"/>
    <d v="2014-10-13T04:59:00"/>
    <x v="820"/>
    <x v="3"/>
  </r>
  <r>
    <x v="2937"/>
    <s v="UCAS"/>
    <s v="UCAS is a new British musical premiering at the Edinburgh Fringe Festival 2014."/>
    <x v="15"/>
    <x v="41"/>
    <x v="0"/>
    <x v="1"/>
    <s v="GBP"/>
    <n v="1405249113"/>
    <x v="2937"/>
    <x v="0"/>
    <n v="55"/>
    <x v="0"/>
    <s v="theater/musical"/>
    <n v="133"/>
    <n v="36.36"/>
    <x v="1"/>
    <x v="40"/>
    <x v="2937"/>
    <d v="2014-07-13T10:58:33"/>
    <x v="1"/>
    <x v="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x v="0"/>
    <n v="32"/>
    <x v="0"/>
    <s v="theater/musical"/>
    <n v="101"/>
    <n v="126.72"/>
    <x v="1"/>
    <x v="40"/>
    <x v="2938"/>
    <d v="2015-01-30T16:53:34"/>
    <x v="1"/>
    <x v="3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x v="0"/>
    <n v="25"/>
    <x v="0"/>
    <s v="theater/musical"/>
    <n v="103"/>
    <n v="329.2"/>
    <x v="1"/>
    <x v="40"/>
    <x v="2939"/>
    <d v="2014-08-28T01:00:00"/>
    <x v="821"/>
    <x v="3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x v="0"/>
    <n v="33"/>
    <x v="0"/>
    <s v="theater/musical"/>
    <n v="107"/>
    <n v="81.239999999999995"/>
    <x v="1"/>
    <x v="40"/>
    <x v="2940"/>
    <d v="2015-01-18T18:33:38"/>
    <x v="4"/>
    <x v="3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x v="0"/>
    <n v="1"/>
    <x v="1"/>
    <s v="theater/spaces"/>
    <n v="0"/>
    <n v="1"/>
    <x v="1"/>
    <x v="38"/>
    <x v="2941"/>
    <d v="2015-03-01T23:02:35"/>
    <x v="1"/>
    <x v="0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x v="0"/>
    <n v="202"/>
    <x v="1"/>
    <s v="theater/spaces"/>
    <n v="20"/>
    <n v="202.23"/>
    <x v="1"/>
    <x v="38"/>
    <x v="2942"/>
    <d v="2015-12-16T20:18:00"/>
    <x v="54"/>
    <x v="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x v="0"/>
    <n v="0"/>
    <x v="1"/>
    <s v="theater/spaces"/>
    <n v="0"/>
    <n v="0"/>
    <x v="1"/>
    <x v="38"/>
    <x v="2943"/>
    <d v="2015-04-13T03:06:20"/>
    <x v="1"/>
    <x v="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x v="0"/>
    <n v="1"/>
    <x v="1"/>
    <s v="theater/spaces"/>
    <n v="1"/>
    <n v="100"/>
    <x v="1"/>
    <x v="38"/>
    <x v="2944"/>
    <d v="2015-06-07T21:56:38"/>
    <x v="1"/>
    <x v="0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x v="0"/>
    <n v="0"/>
    <x v="1"/>
    <s v="theater/spaces"/>
    <n v="0"/>
    <n v="0"/>
    <x v="1"/>
    <x v="38"/>
    <x v="2945"/>
    <d v="2015-05-24T03:21:00"/>
    <x v="1"/>
    <x v="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x v="0"/>
    <n v="2"/>
    <x v="1"/>
    <s v="theater/spaces"/>
    <n v="0"/>
    <n v="1"/>
    <x v="1"/>
    <x v="38"/>
    <x v="2946"/>
    <d v="2016-08-15T12:44:52"/>
    <x v="1"/>
    <x v="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x v="0"/>
    <n v="13"/>
    <x v="1"/>
    <s v="theater/spaces"/>
    <n v="4"/>
    <n v="82.46"/>
    <x v="1"/>
    <x v="38"/>
    <x v="2947"/>
    <d v="2016-11-24T17:11:00"/>
    <x v="822"/>
    <x v="2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x v="0"/>
    <n v="9"/>
    <x v="1"/>
    <s v="theater/spaces"/>
    <n v="0"/>
    <n v="2.67"/>
    <x v="1"/>
    <x v="38"/>
    <x v="2948"/>
    <d v="2015-06-02T15:34:53"/>
    <x v="14"/>
    <x v="0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x v="0"/>
    <n v="2"/>
    <x v="1"/>
    <s v="theater/spaces"/>
    <n v="3"/>
    <n v="12.5"/>
    <x v="1"/>
    <x v="38"/>
    <x v="2949"/>
    <d v="2015-11-19T20:45:17"/>
    <x v="13"/>
    <x v="0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x v="0"/>
    <n v="0"/>
    <x v="1"/>
    <s v="theater/spaces"/>
    <n v="0"/>
    <n v="0"/>
    <x v="1"/>
    <x v="38"/>
    <x v="2950"/>
    <d v="2016-01-23T08:45:52"/>
    <x v="1"/>
    <x v="0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x v="0"/>
    <n v="58"/>
    <x v="1"/>
    <s v="theater/spaces"/>
    <n v="2"/>
    <n v="18.899999999999999"/>
    <x v="1"/>
    <x v="38"/>
    <x v="2951"/>
    <d v="2014-10-05T19:16:13"/>
    <x v="26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x v="0"/>
    <n v="8"/>
    <x v="1"/>
    <s v="theater/spaces"/>
    <n v="8"/>
    <n v="200.63"/>
    <x v="1"/>
    <x v="38"/>
    <x v="2952"/>
    <d v="2016-10-17T04:00:00"/>
    <x v="313"/>
    <x v="2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x v="0"/>
    <n v="3"/>
    <x v="1"/>
    <s v="theater/spaces"/>
    <n v="0"/>
    <n v="201.67"/>
    <x v="1"/>
    <x v="38"/>
    <x v="2953"/>
    <d v="2015-10-08T19:00:21"/>
    <x v="1"/>
    <x v="0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x v="0"/>
    <n v="0"/>
    <x v="1"/>
    <s v="theater/spaces"/>
    <n v="0"/>
    <n v="0"/>
    <x v="1"/>
    <x v="38"/>
    <x v="2954"/>
    <d v="2017-03-16T13:00:03"/>
    <x v="138"/>
    <x v="1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x v="0"/>
    <n v="11"/>
    <x v="1"/>
    <s v="theater/spaces"/>
    <n v="60"/>
    <n v="65"/>
    <x v="1"/>
    <x v="38"/>
    <x v="2955"/>
    <d v="2015-06-16T17:47:29"/>
    <x v="1"/>
    <x v="0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x v="0"/>
    <n v="20"/>
    <x v="1"/>
    <s v="theater/spaces"/>
    <n v="17"/>
    <n v="66.099999999999994"/>
    <x v="1"/>
    <x v="38"/>
    <x v="2956"/>
    <d v="2016-05-04T23:00:50"/>
    <x v="1"/>
    <x v="2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x v="0"/>
    <n v="3"/>
    <x v="1"/>
    <s v="theater/spaces"/>
    <n v="2"/>
    <n v="93.33"/>
    <x v="1"/>
    <x v="38"/>
    <x v="2957"/>
    <d v="2015-03-27T23:16:12"/>
    <x v="80"/>
    <x v="0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x v="0"/>
    <n v="0"/>
    <x v="1"/>
    <s v="theater/spaces"/>
    <n v="0"/>
    <n v="0"/>
    <x v="1"/>
    <x v="38"/>
    <x v="2958"/>
    <d v="2016-05-08T17:41:57"/>
    <x v="80"/>
    <x v="2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x v="0"/>
    <n v="0"/>
    <x v="1"/>
    <s v="theater/spaces"/>
    <n v="0"/>
    <n v="0"/>
    <x v="1"/>
    <x v="38"/>
    <x v="2959"/>
    <d v="2016-06-07T00:12:05"/>
    <x v="1"/>
    <x v="2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x v="0"/>
    <n v="0"/>
    <x v="1"/>
    <s v="theater/spaces"/>
    <n v="0"/>
    <n v="0"/>
    <x v="1"/>
    <x v="38"/>
    <x v="2960"/>
    <d v="2014-09-11T18:10:23"/>
    <x v="1"/>
    <x v="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x v="0"/>
    <n v="108"/>
    <x v="0"/>
    <s v="theater/plays"/>
    <n v="110"/>
    <n v="50.75"/>
    <x v="1"/>
    <x v="6"/>
    <x v="2961"/>
    <d v="2015-03-26T04:00:00"/>
    <x v="786"/>
    <x v="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x v="0"/>
    <n v="20"/>
    <x v="0"/>
    <s v="theater/plays"/>
    <n v="122"/>
    <n v="60.9"/>
    <x v="1"/>
    <x v="6"/>
    <x v="2962"/>
    <d v="2015-03-01T06:59:00"/>
    <x v="577"/>
    <x v="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x v="0"/>
    <n v="98"/>
    <x v="0"/>
    <s v="theater/plays"/>
    <n v="107"/>
    <n v="109.03"/>
    <x v="1"/>
    <x v="6"/>
    <x v="2963"/>
    <d v="2015-07-02T11:17:04"/>
    <x v="1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x v="0"/>
    <n v="196"/>
    <x v="0"/>
    <s v="theater/plays"/>
    <n v="101"/>
    <n v="25.69"/>
    <x v="1"/>
    <x v="6"/>
    <x v="2964"/>
    <d v="2014-08-06T21:32:00"/>
    <x v="99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x v="0"/>
    <n v="39"/>
    <x v="0"/>
    <s v="theater/plays"/>
    <n v="109"/>
    <n v="41.92"/>
    <x v="1"/>
    <x v="6"/>
    <x v="2965"/>
    <d v="2015-07-07T17:30:33"/>
    <x v="1"/>
    <x v="0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x v="0"/>
    <n v="128"/>
    <x v="0"/>
    <s v="theater/plays"/>
    <n v="114"/>
    <n v="88.77"/>
    <x v="1"/>
    <x v="6"/>
    <x v="2966"/>
    <d v="2015-09-16T17:43:32"/>
    <x v="1"/>
    <x v="0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x v="0"/>
    <n v="71"/>
    <x v="0"/>
    <s v="theater/plays"/>
    <n v="114"/>
    <n v="80.23"/>
    <x v="1"/>
    <x v="6"/>
    <x v="2967"/>
    <d v="2015-03-09T03:44:52"/>
    <x v="22"/>
    <x v="0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x v="0"/>
    <n v="47"/>
    <x v="0"/>
    <s v="theater/plays"/>
    <n v="106"/>
    <n v="78.94"/>
    <x v="1"/>
    <x v="6"/>
    <x v="2968"/>
    <d v="2016-08-17T03:59:00"/>
    <x v="823"/>
    <x v="2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x v="0"/>
    <n v="17"/>
    <x v="0"/>
    <s v="theater/plays"/>
    <n v="163"/>
    <n v="95.59"/>
    <x v="1"/>
    <x v="6"/>
    <x v="2969"/>
    <d v="2015-05-03T22:51:00"/>
    <x v="762"/>
    <x v="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x v="0"/>
    <n v="91"/>
    <x v="0"/>
    <s v="theater/plays"/>
    <n v="106"/>
    <n v="69.89"/>
    <x v="1"/>
    <x v="6"/>
    <x v="2970"/>
    <d v="2014-07-18T16:04:11"/>
    <x v="1"/>
    <x v="3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x v="0"/>
    <n v="43"/>
    <x v="0"/>
    <s v="theater/plays"/>
    <n v="100"/>
    <n v="74.53"/>
    <x v="1"/>
    <x v="6"/>
    <x v="2971"/>
    <d v="2014-08-31T15:47:58"/>
    <x v="1"/>
    <x v="3"/>
  </r>
  <r>
    <x v="2972"/>
    <s v="A Bad Plan"/>
    <s v="A group of artists. A mythical art piece. A harrowing quest. And some margaritas."/>
    <x v="13"/>
    <x v="1975"/>
    <x v="0"/>
    <x v="0"/>
    <s v="USD"/>
    <n v="1480899600"/>
    <x v="2972"/>
    <x v="0"/>
    <n v="17"/>
    <x v="0"/>
    <s v="theater/plays"/>
    <n v="105"/>
    <n v="123.94"/>
    <x v="1"/>
    <x v="6"/>
    <x v="2972"/>
    <d v="2016-12-05T01:00:00"/>
    <x v="824"/>
    <x v="2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x v="0"/>
    <n v="33"/>
    <x v="0"/>
    <s v="theater/plays"/>
    <n v="175"/>
    <n v="264.85000000000002"/>
    <x v="1"/>
    <x v="6"/>
    <x v="2973"/>
    <d v="2016-01-01T04:00:00"/>
    <x v="774"/>
    <x v="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x v="0"/>
    <n v="87"/>
    <x v="0"/>
    <s v="theater/plays"/>
    <n v="102"/>
    <n v="58.62"/>
    <x v="1"/>
    <x v="6"/>
    <x v="2974"/>
    <d v="2014-09-26T01:35:00"/>
    <x v="240"/>
    <x v="3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x v="0"/>
    <n v="113"/>
    <x v="0"/>
    <s v="theater/plays"/>
    <n v="100"/>
    <n v="70.88"/>
    <x v="1"/>
    <x v="6"/>
    <x v="2975"/>
    <d v="2014-11-27T03:00:00"/>
    <x v="825"/>
    <x v="3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x v="0"/>
    <n v="14"/>
    <x v="0"/>
    <s v="theater/plays"/>
    <n v="171"/>
    <n v="8.57"/>
    <x v="1"/>
    <x v="6"/>
    <x v="2976"/>
    <d v="2016-03-13T12:00:00"/>
    <x v="446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x v="0"/>
    <n v="30"/>
    <x v="0"/>
    <s v="theater/plays"/>
    <n v="114"/>
    <n v="113.57"/>
    <x v="1"/>
    <x v="6"/>
    <x v="2977"/>
    <d v="2015-03-23T02:14:00"/>
    <x v="826"/>
    <x v="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x v="0"/>
    <n v="16"/>
    <x v="0"/>
    <s v="theater/plays"/>
    <n v="129"/>
    <n v="60.69"/>
    <x v="1"/>
    <x v="6"/>
    <x v="2978"/>
    <d v="2014-10-20T05:59:00"/>
    <x v="827"/>
    <x v="3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x v="0"/>
    <n v="46"/>
    <x v="0"/>
    <s v="theater/plays"/>
    <n v="101"/>
    <n v="110.22"/>
    <x v="1"/>
    <x v="6"/>
    <x v="2979"/>
    <d v="2015-01-06T06:00:00"/>
    <x v="779"/>
    <x v="3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x v="0"/>
    <n v="24"/>
    <x v="0"/>
    <s v="theater/plays"/>
    <n v="109"/>
    <n v="136.46"/>
    <x v="1"/>
    <x v="6"/>
    <x v="2980"/>
    <d v="2015-08-24T02:00:00"/>
    <x v="545"/>
    <x v="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x v="1"/>
    <n v="97"/>
    <x v="0"/>
    <s v="theater/spaces"/>
    <n v="129"/>
    <n v="53.16"/>
    <x v="1"/>
    <x v="38"/>
    <x v="2981"/>
    <d v="2015-09-23T13:25:56"/>
    <x v="26"/>
    <x v="0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x v="1"/>
    <n v="59"/>
    <x v="0"/>
    <s v="theater/spaces"/>
    <n v="102"/>
    <n v="86.49"/>
    <x v="1"/>
    <x v="38"/>
    <x v="2982"/>
    <d v="2016-02-11T16:29:03"/>
    <x v="1"/>
    <x v="2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x v="1"/>
    <n v="1095"/>
    <x v="0"/>
    <s v="theater/spaces"/>
    <n v="147"/>
    <n v="155.24"/>
    <x v="1"/>
    <x v="38"/>
    <x v="2983"/>
    <d v="2014-11-11T16:10:36"/>
    <x v="27"/>
    <x v="3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x v="1"/>
    <n v="218"/>
    <x v="0"/>
    <s v="theater/spaces"/>
    <n v="100"/>
    <n v="115.08"/>
    <x v="1"/>
    <x v="38"/>
    <x v="2984"/>
    <d v="2016-08-24T06:41:21"/>
    <x v="1"/>
    <x v="2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x v="0"/>
    <n v="111"/>
    <x v="0"/>
    <s v="theater/spaces"/>
    <n v="122"/>
    <n v="109.59"/>
    <x v="1"/>
    <x v="38"/>
    <x v="2985"/>
    <d v="2016-10-31T04:00:00"/>
    <x v="828"/>
    <x v="2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x v="0"/>
    <n v="56"/>
    <x v="0"/>
    <s v="theater/spaces"/>
    <n v="106"/>
    <n v="45.21"/>
    <x v="1"/>
    <x v="38"/>
    <x v="2986"/>
    <d v="2016-05-01T11:00:06"/>
    <x v="80"/>
    <x v="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x v="0"/>
    <n v="265"/>
    <x v="0"/>
    <s v="theater/spaces"/>
    <n v="110"/>
    <n v="104.15"/>
    <x v="1"/>
    <x v="38"/>
    <x v="2987"/>
    <d v="2016-10-13T00:00:00"/>
    <x v="829"/>
    <x v="2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x v="0"/>
    <n v="28"/>
    <x v="0"/>
    <s v="theater/spaces"/>
    <n v="100"/>
    <n v="35.71"/>
    <x v="1"/>
    <x v="38"/>
    <x v="2988"/>
    <d v="2016-06-20T08:41:21"/>
    <x v="1"/>
    <x v="2"/>
  </r>
  <r>
    <x v="2989"/>
    <s v="Let's Light Up The Gem!"/>
    <s v="Bring the movies back to Bethel, Maine."/>
    <x v="22"/>
    <x v="1987"/>
    <x v="0"/>
    <x v="0"/>
    <s v="USD"/>
    <n v="1450673940"/>
    <x v="2989"/>
    <x v="0"/>
    <n v="364"/>
    <x v="0"/>
    <s v="theater/spaces"/>
    <n v="177"/>
    <n v="97"/>
    <x v="1"/>
    <x v="38"/>
    <x v="2989"/>
    <d v="2015-12-21T04:59:00"/>
    <x v="664"/>
    <x v="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x v="0"/>
    <n v="27"/>
    <x v="0"/>
    <s v="theater/spaces"/>
    <n v="100"/>
    <n v="370.37"/>
    <x v="1"/>
    <x v="38"/>
    <x v="2990"/>
    <d v="2016-01-07T13:47:00"/>
    <x v="6"/>
    <x v="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x v="0"/>
    <n v="93"/>
    <x v="0"/>
    <s v="theater/spaces"/>
    <n v="103"/>
    <n v="94.41"/>
    <x v="1"/>
    <x v="38"/>
    <x v="2991"/>
    <d v="2017-01-27T20:05:30"/>
    <x v="35"/>
    <x v="1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x v="0"/>
    <n v="64"/>
    <x v="0"/>
    <s v="theater/spaces"/>
    <n v="105"/>
    <n v="48.98"/>
    <x v="1"/>
    <x v="38"/>
    <x v="2992"/>
    <d v="2016-10-09T18:25:10"/>
    <x v="1"/>
    <x v="2"/>
  </r>
  <r>
    <x v="2993"/>
    <s v="TRUE WEST: Think, Dog! Productions"/>
    <s v="Help us build the Kitchen from Hell!"/>
    <x v="28"/>
    <x v="1141"/>
    <x v="0"/>
    <x v="0"/>
    <s v="USD"/>
    <n v="1455998867"/>
    <x v="2993"/>
    <x v="0"/>
    <n v="22"/>
    <x v="0"/>
    <s v="theater/spaces"/>
    <n v="100"/>
    <n v="45.59"/>
    <x v="1"/>
    <x v="38"/>
    <x v="2993"/>
    <d v="2016-02-20T20:07:47"/>
    <x v="1"/>
    <x v="2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x v="0"/>
    <n v="59"/>
    <x v="0"/>
    <s v="theater/spaces"/>
    <n v="458"/>
    <n v="23.28"/>
    <x v="1"/>
    <x v="38"/>
    <x v="2994"/>
    <d v="2014-10-03T11:29:32"/>
    <x v="1"/>
    <x v="3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x v="0"/>
    <n v="249"/>
    <x v="0"/>
    <s v="theater/spaces"/>
    <n v="105"/>
    <n v="63.23"/>
    <x v="1"/>
    <x v="38"/>
    <x v="2995"/>
    <d v="2017-01-19T15:57:51"/>
    <x v="1"/>
    <x v="2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x v="0"/>
    <n v="392"/>
    <x v="0"/>
    <s v="theater/spaces"/>
    <n v="172"/>
    <n v="153.52000000000001"/>
    <x v="1"/>
    <x v="38"/>
    <x v="2996"/>
    <d v="2015-05-26T21:54:00"/>
    <x v="14"/>
    <x v="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x v="0"/>
    <n v="115"/>
    <x v="0"/>
    <s v="theater/spaces"/>
    <n v="104"/>
    <n v="90.2"/>
    <x v="1"/>
    <x v="38"/>
    <x v="2997"/>
    <d v="2017-02-27T04:59:00"/>
    <x v="830"/>
    <x v="1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x v="0"/>
    <n v="433"/>
    <x v="0"/>
    <s v="theater/spaces"/>
    <n v="103"/>
    <n v="118.97"/>
    <x v="1"/>
    <x v="38"/>
    <x v="2998"/>
    <d v="2014-06-16T04:25:00"/>
    <x v="831"/>
    <x v="3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x v="0"/>
    <n v="20"/>
    <x v="0"/>
    <s v="theater/spaces"/>
    <n v="119"/>
    <n v="80.25"/>
    <x v="1"/>
    <x v="38"/>
    <x v="2999"/>
    <d v="2017-03-01T02:00:00"/>
    <x v="812"/>
    <x v="1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x v="0"/>
    <n v="8"/>
    <x v="0"/>
    <s v="theater/spaces"/>
    <n v="100"/>
    <n v="62.5"/>
    <x v="1"/>
    <x v="38"/>
    <x v="3000"/>
    <d v="2017-01-31T18:00:00"/>
    <x v="832"/>
    <x v="1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x v="0"/>
    <n v="175"/>
    <x v="0"/>
    <s v="theater/spaces"/>
    <n v="319"/>
    <n v="131.38"/>
    <x v="1"/>
    <x v="38"/>
    <x v="3001"/>
    <d v="2016-07-13T21:29:42"/>
    <x v="1"/>
    <x v="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x v="0"/>
    <n v="104"/>
    <x v="0"/>
    <s v="theater/spaces"/>
    <n v="109"/>
    <n v="73.03"/>
    <x v="1"/>
    <x v="38"/>
    <x v="3002"/>
    <d v="2012-12-26T20:04:12"/>
    <x v="1"/>
    <x v="5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x v="0"/>
    <n v="17"/>
    <x v="0"/>
    <s v="theater/spaces"/>
    <n v="101"/>
    <n v="178.53"/>
    <x v="1"/>
    <x v="38"/>
    <x v="3003"/>
    <d v="2016-03-01T05:59:00"/>
    <x v="247"/>
    <x v="2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x v="0"/>
    <n v="277"/>
    <x v="0"/>
    <s v="theater/spaces"/>
    <n v="113"/>
    <n v="162.91"/>
    <x v="1"/>
    <x v="38"/>
    <x v="3004"/>
    <d v="2014-11-15T22:08:44"/>
    <x v="13"/>
    <x v="3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x v="0"/>
    <n v="118"/>
    <x v="0"/>
    <s v="theater/spaces"/>
    <n v="120"/>
    <n v="108.24"/>
    <x v="1"/>
    <x v="38"/>
    <x v="3005"/>
    <d v="2014-10-06T16:11:45"/>
    <x v="1"/>
    <x v="3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x v="0"/>
    <n v="97"/>
    <x v="0"/>
    <s v="theater/spaces"/>
    <n v="108"/>
    <n v="88.87"/>
    <x v="1"/>
    <x v="38"/>
    <x v="3006"/>
    <d v="2014-12-14T18:09:51"/>
    <x v="1"/>
    <x v="3"/>
  </r>
  <r>
    <x v="3007"/>
    <s v="Bethlem"/>
    <s v="Consuite for 2015 CoreCon.  An adventure into insanity."/>
    <x v="20"/>
    <x v="1144"/>
    <x v="0"/>
    <x v="0"/>
    <s v="USD"/>
    <n v="1429938683"/>
    <x v="3007"/>
    <x v="0"/>
    <n v="20"/>
    <x v="0"/>
    <s v="theater/spaces"/>
    <n v="180"/>
    <n v="54"/>
    <x v="1"/>
    <x v="38"/>
    <x v="3007"/>
    <d v="2015-04-25T05:11:23"/>
    <x v="31"/>
    <x v="0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x v="0"/>
    <n v="26"/>
    <x v="0"/>
    <s v="theater/spaces"/>
    <n v="101"/>
    <n v="116.73"/>
    <x v="1"/>
    <x v="38"/>
    <x v="3008"/>
    <d v="2016-01-21T05:05:19"/>
    <x v="1"/>
    <x v="0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x v="0"/>
    <n v="128"/>
    <x v="0"/>
    <s v="theater/spaces"/>
    <n v="120"/>
    <n v="233.9"/>
    <x v="1"/>
    <x v="38"/>
    <x v="3009"/>
    <d v="2014-11-26T14:40:40"/>
    <x v="13"/>
    <x v="3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x v="0"/>
    <n v="15"/>
    <x v="0"/>
    <s v="theater/spaces"/>
    <n v="158"/>
    <n v="158"/>
    <x v="1"/>
    <x v="38"/>
    <x v="3010"/>
    <d v="2015-02-21T19:58:39"/>
    <x v="14"/>
    <x v="3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x v="0"/>
    <n v="25"/>
    <x v="0"/>
    <s v="theater/spaces"/>
    <n v="124"/>
    <n v="14.84"/>
    <x v="1"/>
    <x v="38"/>
    <x v="3011"/>
    <d v="2015-12-23T22:59:00"/>
    <x v="833"/>
    <x v="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x v="0"/>
    <n v="55"/>
    <x v="0"/>
    <s v="theater/spaces"/>
    <n v="117"/>
    <n v="85.18"/>
    <x v="1"/>
    <x v="38"/>
    <x v="3012"/>
    <d v="2015-02-10T16:52:10"/>
    <x v="31"/>
    <x v="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x v="0"/>
    <n v="107"/>
    <x v="0"/>
    <s v="theater/spaces"/>
    <n v="157"/>
    <n v="146.69"/>
    <x v="1"/>
    <x v="38"/>
    <x v="3013"/>
    <d v="2015-06-21T20:04:09"/>
    <x v="1"/>
    <x v="0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x v="0"/>
    <n v="557"/>
    <x v="0"/>
    <s v="theater/spaces"/>
    <n v="113"/>
    <n v="50.76"/>
    <x v="1"/>
    <x v="38"/>
    <x v="3014"/>
    <d v="2014-11-05T05:00:00"/>
    <x v="575"/>
    <x v="3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x v="0"/>
    <n v="40"/>
    <x v="0"/>
    <s v="theater/spaces"/>
    <n v="103"/>
    <n v="87.7"/>
    <x v="1"/>
    <x v="38"/>
    <x v="3015"/>
    <d v="2014-06-11T04:00:00"/>
    <x v="834"/>
    <x v="3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x v="0"/>
    <n v="36"/>
    <x v="0"/>
    <s v="theater/spaces"/>
    <n v="103"/>
    <n v="242.28"/>
    <x v="1"/>
    <x v="38"/>
    <x v="3016"/>
    <d v="2014-07-18T13:09:12"/>
    <x v="14"/>
    <x v="3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x v="0"/>
    <n v="159"/>
    <x v="0"/>
    <s v="theater/spaces"/>
    <n v="106"/>
    <n v="146.44999999999999"/>
    <x v="1"/>
    <x v="38"/>
    <x v="3017"/>
    <d v="2014-08-20T20:24:03"/>
    <x v="1"/>
    <x v="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x v="0"/>
    <n v="41"/>
    <x v="0"/>
    <s v="theater/spaces"/>
    <n v="101"/>
    <n v="103.17"/>
    <x v="1"/>
    <x v="38"/>
    <x v="3018"/>
    <d v="2015-07-20T22:00:00"/>
    <x v="239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x v="0"/>
    <n v="226"/>
    <x v="0"/>
    <s v="theater/spaces"/>
    <n v="121"/>
    <n v="80.459999999999994"/>
    <x v="1"/>
    <x v="38"/>
    <x v="3019"/>
    <d v="2014-05-27T03:00:00"/>
    <x v="835"/>
    <x v="3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x v="0"/>
    <n v="30"/>
    <x v="0"/>
    <s v="theater/spaces"/>
    <n v="101"/>
    <n v="234.67"/>
    <x v="1"/>
    <x v="38"/>
    <x v="3020"/>
    <d v="2015-08-14T20:18:53"/>
    <x v="14"/>
    <x v="0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x v="0"/>
    <n v="103"/>
    <x v="0"/>
    <s v="theater/spaces"/>
    <n v="116"/>
    <n v="50.69"/>
    <x v="1"/>
    <x v="38"/>
    <x v="3021"/>
    <d v="2016-11-22T05:59:00"/>
    <x v="389"/>
    <x v="2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x v="0"/>
    <n v="62"/>
    <x v="0"/>
    <s v="theater/spaces"/>
    <n v="101"/>
    <n v="162.71"/>
    <x v="1"/>
    <x v="38"/>
    <x v="3022"/>
    <d v="2016-08-27T22:53:29"/>
    <x v="26"/>
    <x v="2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x v="0"/>
    <n v="6"/>
    <x v="0"/>
    <s v="theater/spaces"/>
    <n v="103"/>
    <n v="120.17"/>
    <x v="1"/>
    <x v="38"/>
    <x v="3023"/>
    <d v="2015-06-11T16:13:06"/>
    <x v="26"/>
    <x v="0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x v="0"/>
    <n v="182"/>
    <x v="0"/>
    <s v="theater/spaces"/>
    <n v="246"/>
    <n v="67.7"/>
    <x v="1"/>
    <x v="38"/>
    <x v="3024"/>
    <d v="2012-10-06T23:51:15"/>
    <x v="1"/>
    <x v="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x v="0"/>
    <n v="145"/>
    <x v="0"/>
    <s v="theater/spaces"/>
    <n v="302"/>
    <n v="52.1"/>
    <x v="1"/>
    <x v="38"/>
    <x v="3025"/>
    <d v="2014-05-30T16:00:00"/>
    <x v="836"/>
    <x v="3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x v="0"/>
    <n v="25"/>
    <x v="0"/>
    <s v="theater/spaces"/>
    <n v="143"/>
    <n v="51.6"/>
    <x v="1"/>
    <x v="38"/>
    <x v="3026"/>
    <d v="2017-03-03T11:01:32"/>
    <x v="59"/>
    <x v="1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x v="0"/>
    <n v="320"/>
    <x v="0"/>
    <s v="theater/spaces"/>
    <n v="131"/>
    <n v="164.3"/>
    <x v="1"/>
    <x v="38"/>
    <x v="3027"/>
    <d v="2015-03-20T15:54:11"/>
    <x v="22"/>
    <x v="0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x v="0"/>
    <n v="99"/>
    <x v="0"/>
    <s v="theater/spaces"/>
    <n v="168"/>
    <n v="84.86"/>
    <x v="1"/>
    <x v="38"/>
    <x v="3028"/>
    <d v="2016-08-15T06:20:25"/>
    <x v="1"/>
    <x v="2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x v="0"/>
    <n v="348"/>
    <x v="0"/>
    <s v="theater/spaces"/>
    <n v="110"/>
    <n v="94.55"/>
    <x v="1"/>
    <x v="38"/>
    <x v="3029"/>
    <d v="2014-11-18T04:35:00"/>
    <x v="837"/>
    <x v="3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x v="0"/>
    <n v="41"/>
    <x v="0"/>
    <s v="theater/spaces"/>
    <n v="107"/>
    <n v="45.54"/>
    <x v="1"/>
    <x v="38"/>
    <x v="3030"/>
    <d v="2015-09-16T17:56:11"/>
    <x v="1"/>
    <x v="0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x v="0"/>
    <n v="29"/>
    <x v="0"/>
    <s v="theater/spaces"/>
    <n v="100"/>
    <n v="51.72"/>
    <x v="1"/>
    <x v="38"/>
    <x v="3031"/>
    <d v="2016-10-14T21:10:47"/>
    <x v="14"/>
    <x v="2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x v="0"/>
    <n v="25"/>
    <x v="0"/>
    <s v="theater/spaces"/>
    <n v="127"/>
    <n v="50.88"/>
    <x v="1"/>
    <x v="38"/>
    <x v="3032"/>
    <d v="2015-09-11T01:04:19"/>
    <x v="1"/>
    <x v="0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x v="0"/>
    <n v="23"/>
    <x v="0"/>
    <s v="theater/spaces"/>
    <n v="147"/>
    <n v="191.13"/>
    <x v="1"/>
    <x v="38"/>
    <x v="3033"/>
    <d v="2016-08-18T02:38:45"/>
    <x v="1"/>
    <x v="2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x v="0"/>
    <n v="1260"/>
    <x v="0"/>
    <s v="theater/spaces"/>
    <n v="113"/>
    <n v="89.31"/>
    <x v="1"/>
    <x v="38"/>
    <x v="3034"/>
    <d v="2016-11-01T03:59:00"/>
    <x v="356"/>
    <x v="2"/>
  </r>
  <r>
    <x v="3035"/>
    <s v="The Coalition Theater"/>
    <s v="Help create a permanent home for live comedy shows and classes in Downtown RVA."/>
    <x v="31"/>
    <x v="2023"/>
    <x v="0"/>
    <x v="0"/>
    <s v="USD"/>
    <n v="1367674009"/>
    <x v="3035"/>
    <x v="0"/>
    <n v="307"/>
    <x v="0"/>
    <s v="theater/spaces"/>
    <n v="109"/>
    <n v="88.59"/>
    <x v="1"/>
    <x v="38"/>
    <x v="3035"/>
    <d v="2013-05-04T13:26:49"/>
    <x v="1"/>
    <x v="4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x v="0"/>
    <n v="329"/>
    <x v="0"/>
    <s v="theater/spaces"/>
    <n v="127"/>
    <n v="96.3"/>
    <x v="1"/>
    <x v="38"/>
    <x v="3036"/>
    <d v="2013-08-16T11:59:00"/>
    <x v="838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x v="0"/>
    <n v="32"/>
    <x v="0"/>
    <s v="theater/spaces"/>
    <n v="213"/>
    <n v="33.31"/>
    <x v="1"/>
    <x v="38"/>
    <x v="3037"/>
    <d v="2010-10-02T04:59:00"/>
    <x v="839"/>
    <x v="7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x v="0"/>
    <n v="27"/>
    <x v="0"/>
    <s v="theater/spaces"/>
    <n v="101"/>
    <n v="37.22"/>
    <x v="1"/>
    <x v="38"/>
    <x v="3038"/>
    <d v="2016-03-04T06:03:17"/>
    <x v="14"/>
    <x v="2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x v="0"/>
    <n v="236"/>
    <x v="0"/>
    <s v="theater/spaces"/>
    <n v="109"/>
    <n v="92.13"/>
    <x v="1"/>
    <x v="38"/>
    <x v="3039"/>
    <d v="2013-12-29T07:59:00"/>
    <x v="840"/>
    <x v="4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x v="0"/>
    <n v="42"/>
    <x v="0"/>
    <s v="theater/spaces"/>
    <n v="108"/>
    <n v="76.790000000000006"/>
    <x v="1"/>
    <x v="38"/>
    <x v="3040"/>
    <d v="2015-06-26T23:00:00"/>
    <x v="841"/>
    <x v="0"/>
  </r>
  <r>
    <x v="3041"/>
    <s v="Lend a Hand in Our Home"/>
    <s v="Privet! Hello! Bon Jour! We are the Arlekin Players Theatre and we need a home."/>
    <x v="386"/>
    <x v="2028"/>
    <x v="0"/>
    <x v="0"/>
    <s v="USD"/>
    <n v="1453323048"/>
    <x v="3041"/>
    <x v="0"/>
    <n v="95"/>
    <x v="0"/>
    <s v="theater/spaces"/>
    <n v="110"/>
    <n v="96.53"/>
    <x v="1"/>
    <x v="38"/>
    <x v="3041"/>
    <d v="2016-01-20T20:50:48"/>
    <x v="1"/>
    <x v="0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x v="0"/>
    <n v="37"/>
    <x v="0"/>
    <s v="theater/spaces"/>
    <n v="128"/>
    <n v="51.89"/>
    <x v="1"/>
    <x v="38"/>
    <x v="3042"/>
    <d v="2015-10-06T16:30:47"/>
    <x v="1"/>
    <x v="0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x v="0"/>
    <n v="128"/>
    <x v="0"/>
    <s v="theater/spaces"/>
    <n v="110"/>
    <n v="128.91"/>
    <x v="1"/>
    <x v="38"/>
    <x v="3043"/>
    <d v="2015-04-16T02:50:00"/>
    <x v="842"/>
    <x v="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x v="0"/>
    <n v="156"/>
    <x v="0"/>
    <s v="theater/spaces"/>
    <n v="109"/>
    <n v="84.11"/>
    <x v="1"/>
    <x v="38"/>
    <x v="3044"/>
    <d v="2016-02-02T17:26:38"/>
    <x v="20"/>
    <x v="2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x v="0"/>
    <n v="64"/>
    <x v="0"/>
    <s v="theater/spaces"/>
    <n v="133"/>
    <n v="82.94"/>
    <x v="1"/>
    <x v="38"/>
    <x v="3045"/>
    <d v="2014-08-22T03:44:15"/>
    <x v="1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x v="0"/>
    <n v="58"/>
    <x v="0"/>
    <s v="theater/spaces"/>
    <n v="191"/>
    <n v="259.95"/>
    <x v="1"/>
    <x v="38"/>
    <x v="3046"/>
    <d v="2014-09-10T04:52:00"/>
    <x v="843"/>
    <x v="3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x v="0"/>
    <n v="20"/>
    <x v="0"/>
    <s v="theater/spaces"/>
    <n v="149"/>
    <n v="37.25"/>
    <x v="1"/>
    <x v="38"/>
    <x v="3047"/>
    <d v="2016-04-27T13:16:00"/>
    <x v="844"/>
    <x v="2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x v="0"/>
    <n v="47"/>
    <x v="0"/>
    <s v="theater/spaces"/>
    <n v="166"/>
    <n v="177.02"/>
    <x v="1"/>
    <x v="38"/>
    <x v="3048"/>
    <d v="2014-12-31T21:22:00"/>
    <x v="845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x v="0"/>
    <n v="54"/>
    <x v="0"/>
    <s v="theater/spaces"/>
    <n v="107"/>
    <n v="74.069999999999993"/>
    <x v="1"/>
    <x v="38"/>
    <x v="3049"/>
    <d v="2015-06-14T00:20:55"/>
    <x v="1"/>
    <x v="0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x v="0"/>
    <n v="9"/>
    <x v="0"/>
    <s v="theater/spaces"/>
    <n v="106"/>
    <n v="70.67"/>
    <x v="1"/>
    <x v="38"/>
    <x v="3050"/>
    <d v="2016-05-05T04:02:40"/>
    <x v="1"/>
    <x v="2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x v="1"/>
    <n v="35"/>
    <x v="1"/>
    <s v="theater/spaces"/>
    <n v="24"/>
    <n v="23.63"/>
    <x v="1"/>
    <x v="38"/>
    <x v="3051"/>
    <d v="2017-02-08T09:59:05"/>
    <x v="1"/>
    <x v="1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x v="0"/>
    <n v="2"/>
    <x v="1"/>
    <s v="theater/spaces"/>
    <n v="0"/>
    <n v="37.5"/>
    <x v="1"/>
    <x v="38"/>
    <x v="3052"/>
    <d v="2015-05-28T15:59:00"/>
    <x v="1"/>
    <x v="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x v="0"/>
    <n v="3"/>
    <x v="1"/>
    <s v="theater/spaces"/>
    <n v="0"/>
    <n v="13.33"/>
    <x v="1"/>
    <x v="38"/>
    <x v="3053"/>
    <d v="2014-10-02T03:59:00"/>
    <x v="846"/>
    <x v="3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x v="0"/>
    <n v="0"/>
    <x v="1"/>
    <s v="theater/spaces"/>
    <n v="0"/>
    <n v="0"/>
    <x v="1"/>
    <x v="38"/>
    <x v="3054"/>
    <d v="2015-03-02T01:04:00"/>
    <x v="847"/>
    <x v="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x v="0"/>
    <n v="1"/>
    <x v="1"/>
    <s v="theater/spaces"/>
    <n v="0"/>
    <n v="1"/>
    <x v="1"/>
    <x v="38"/>
    <x v="3055"/>
    <d v="2015-01-09T22:59:50"/>
    <x v="14"/>
    <x v="3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x v="0"/>
    <n v="0"/>
    <x v="1"/>
    <s v="theater/spaces"/>
    <n v="0"/>
    <n v="0"/>
    <x v="1"/>
    <x v="38"/>
    <x v="3056"/>
    <d v="2014-09-29T15:16:24"/>
    <x v="14"/>
    <x v="3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x v="0"/>
    <n v="0"/>
    <x v="1"/>
    <s v="theater/spaces"/>
    <n v="0"/>
    <n v="0"/>
    <x v="1"/>
    <x v="38"/>
    <x v="3057"/>
    <d v="2016-04-03T14:36:51"/>
    <x v="22"/>
    <x v="2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x v="0"/>
    <n v="3"/>
    <x v="1"/>
    <s v="theater/spaces"/>
    <n v="0"/>
    <n v="1"/>
    <x v="1"/>
    <x v="38"/>
    <x v="3058"/>
    <d v="2016-05-20T08:59:00"/>
    <x v="76"/>
    <x v="2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x v="0"/>
    <n v="11"/>
    <x v="1"/>
    <s v="theater/spaces"/>
    <n v="3"/>
    <n v="41"/>
    <x v="1"/>
    <x v="38"/>
    <x v="3059"/>
    <d v="2014-08-08T22:27:26"/>
    <x v="1"/>
    <x v="3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x v="0"/>
    <n v="6"/>
    <x v="1"/>
    <s v="theater/spaces"/>
    <n v="0"/>
    <n v="55.83"/>
    <x v="1"/>
    <x v="38"/>
    <x v="3060"/>
    <d v="2015-09-28T06:35:34"/>
    <x v="1"/>
    <x v="0"/>
  </r>
  <r>
    <x v="3061"/>
    <s v="Help Save Parkway Cinemas!"/>
    <s v="Save a historic Local theater."/>
    <x v="80"/>
    <x v="117"/>
    <x v="2"/>
    <x v="0"/>
    <s v="USD"/>
    <n v="1407955748"/>
    <x v="3061"/>
    <x v="0"/>
    <n v="0"/>
    <x v="1"/>
    <s v="theater/spaces"/>
    <n v="0"/>
    <n v="0"/>
    <x v="1"/>
    <x v="38"/>
    <x v="3061"/>
    <d v="2014-08-13T18:49:08"/>
    <x v="1"/>
    <x v="3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x v="0"/>
    <n v="67"/>
    <x v="1"/>
    <s v="theater/spaces"/>
    <n v="67"/>
    <n v="99.76"/>
    <x v="1"/>
    <x v="38"/>
    <x v="3062"/>
    <d v="2015-09-30T18:00:00"/>
    <x v="848"/>
    <x v="0"/>
  </r>
  <r>
    <x v="3063"/>
    <s v="Spec Haus"/>
    <s v="Members of the local Miami music scene are putting together a venue/creative space in Kendall!"/>
    <x v="9"/>
    <x v="2038"/>
    <x v="2"/>
    <x v="0"/>
    <s v="USD"/>
    <n v="1477174138"/>
    <x v="3063"/>
    <x v="0"/>
    <n v="23"/>
    <x v="1"/>
    <s v="theater/spaces"/>
    <n v="20"/>
    <n v="25.52"/>
    <x v="1"/>
    <x v="38"/>
    <x v="3063"/>
    <d v="2016-10-22T22:08:58"/>
    <x v="6"/>
    <x v="2"/>
  </r>
  <r>
    <x v="3064"/>
    <s v="Kickstart the Crossroads Community"/>
    <s v="An epicenter for connection, creation and expression of the community."/>
    <x v="96"/>
    <x v="2039"/>
    <x v="2"/>
    <x v="0"/>
    <s v="USD"/>
    <n v="1448175540"/>
    <x v="3064"/>
    <x v="0"/>
    <n v="72"/>
    <x v="1"/>
    <s v="theater/spaces"/>
    <n v="11"/>
    <n v="117.65"/>
    <x v="1"/>
    <x v="38"/>
    <x v="3064"/>
    <d v="2015-11-22T06:59:00"/>
    <x v="316"/>
    <x v="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x v="0"/>
    <n v="2"/>
    <x v="1"/>
    <s v="theater/spaces"/>
    <n v="0"/>
    <n v="5"/>
    <x v="1"/>
    <x v="38"/>
    <x v="3065"/>
    <d v="2014-07-30T01:19:32"/>
    <x v="36"/>
    <x v="3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x v="0"/>
    <n v="15"/>
    <x v="1"/>
    <s v="theater/spaces"/>
    <n v="12"/>
    <n v="2796.67"/>
    <x v="1"/>
    <x v="38"/>
    <x v="3066"/>
    <d v="2016-07-10T05:28:57"/>
    <x v="1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x v="0"/>
    <n v="1"/>
    <x v="1"/>
    <s v="theater/spaces"/>
    <n v="3"/>
    <n v="200"/>
    <x v="1"/>
    <x v="38"/>
    <x v="3067"/>
    <d v="2015-09-09T22:31:19"/>
    <x v="1"/>
    <x v="0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x v="0"/>
    <n v="2"/>
    <x v="1"/>
    <s v="theater/spaces"/>
    <n v="0"/>
    <n v="87.5"/>
    <x v="1"/>
    <x v="38"/>
    <x v="3068"/>
    <d v="2015-10-16T16:35:52"/>
    <x v="1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x v="0"/>
    <n v="7"/>
    <x v="1"/>
    <s v="theater/spaces"/>
    <n v="14"/>
    <n v="20.14"/>
    <x v="1"/>
    <x v="38"/>
    <x v="3069"/>
    <d v="2014-12-14T20:00:34"/>
    <x v="1"/>
    <x v="3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x v="0"/>
    <n v="16"/>
    <x v="1"/>
    <s v="theater/spaces"/>
    <n v="3"/>
    <n v="20.88"/>
    <x v="1"/>
    <x v="38"/>
    <x v="3070"/>
    <d v="2016-12-07T17:36:09"/>
    <x v="31"/>
    <x v="2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x v="0"/>
    <n v="117"/>
    <x v="1"/>
    <s v="theater/spaces"/>
    <n v="60"/>
    <n v="61.31"/>
    <x v="1"/>
    <x v="38"/>
    <x v="3071"/>
    <d v="2015-04-21T05:59:00"/>
    <x v="849"/>
    <x v="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x v="0"/>
    <n v="2"/>
    <x v="1"/>
    <s v="theater/spaces"/>
    <n v="0"/>
    <n v="1"/>
    <x v="1"/>
    <x v="38"/>
    <x v="3072"/>
    <d v="2016-10-30T01:46:00"/>
    <x v="850"/>
    <x v="2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x v="0"/>
    <n v="7"/>
    <x v="1"/>
    <s v="theater/spaces"/>
    <n v="0"/>
    <n v="92.14"/>
    <x v="1"/>
    <x v="38"/>
    <x v="3073"/>
    <d v="2015-06-14T19:19:00"/>
    <x v="819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x v="0"/>
    <n v="3"/>
    <x v="1"/>
    <s v="theater/spaces"/>
    <n v="0"/>
    <n v="7.33"/>
    <x v="1"/>
    <x v="38"/>
    <x v="3074"/>
    <d v="2016-03-10T13:42:39"/>
    <x v="1"/>
    <x v="2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x v="0"/>
    <n v="20"/>
    <x v="1"/>
    <s v="theater/spaces"/>
    <n v="9"/>
    <n v="64.8"/>
    <x v="1"/>
    <x v="38"/>
    <x v="3075"/>
    <d v="2016-08-19T02:27:20"/>
    <x v="76"/>
    <x v="2"/>
  </r>
  <r>
    <x v="3076"/>
    <s v="10,000 Hours"/>
    <s v="Helping female comedians get in their 10,000 Hours of practice!"/>
    <x v="3"/>
    <x v="84"/>
    <x v="2"/>
    <x v="0"/>
    <s v="USD"/>
    <n v="1444405123"/>
    <x v="3076"/>
    <x v="0"/>
    <n v="50"/>
    <x v="1"/>
    <s v="theater/spaces"/>
    <n v="15"/>
    <n v="30.12"/>
    <x v="1"/>
    <x v="38"/>
    <x v="3076"/>
    <d v="2015-10-09T15:38:43"/>
    <x v="14"/>
    <x v="0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x v="0"/>
    <n v="2"/>
    <x v="1"/>
    <s v="theater/spaces"/>
    <n v="0"/>
    <n v="52.5"/>
    <x v="1"/>
    <x v="38"/>
    <x v="3077"/>
    <d v="2017-03-02T22:57:58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x v="0"/>
    <n v="3"/>
    <x v="1"/>
    <s v="theater/spaces"/>
    <n v="0"/>
    <n v="23.67"/>
    <x v="1"/>
    <x v="38"/>
    <x v="3078"/>
    <d v="2015-02-26T03:19:55"/>
    <x v="1"/>
    <x v="0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x v="0"/>
    <n v="27"/>
    <x v="1"/>
    <s v="theater/spaces"/>
    <n v="1"/>
    <n v="415.78"/>
    <x v="1"/>
    <x v="38"/>
    <x v="3079"/>
    <d v="2015-03-22T16:07:15"/>
    <x v="22"/>
    <x v="0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x v="0"/>
    <n v="7"/>
    <x v="1"/>
    <s v="theater/spaces"/>
    <n v="0"/>
    <n v="53.71"/>
    <x v="1"/>
    <x v="38"/>
    <x v="3080"/>
    <d v="2014-12-27T01:40:44"/>
    <x v="27"/>
    <x v="3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x v="0"/>
    <n v="5"/>
    <x v="1"/>
    <s v="theater/spaces"/>
    <n v="0"/>
    <n v="420.6"/>
    <x v="1"/>
    <x v="38"/>
    <x v="3081"/>
    <d v="2015-09-20T04:21:31"/>
    <x v="1"/>
    <x v="0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x v="0"/>
    <n v="0"/>
    <x v="1"/>
    <s v="theater/spaces"/>
    <n v="0"/>
    <n v="0"/>
    <x v="1"/>
    <x v="38"/>
    <x v="3082"/>
    <d v="2015-11-15T23:09:06"/>
    <x v="13"/>
    <x v="0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x v="0"/>
    <n v="3"/>
    <x v="1"/>
    <s v="theater/spaces"/>
    <n v="0"/>
    <n v="18.670000000000002"/>
    <x v="1"/>
    <x v="38"/>
    <x v="3083"/>
    <d v="2014-09-01T05:00:00"/>
    <x v="610"/>
    <x v="3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x v="0"/>
    <n v="6"/>
    <x v="1"/>
    <s v="theater/spaces"/>
    <n v="12"/>
    <n v="78.33"/>
    <x v="1"/>
    <x v="38"/>
    <x v="3084"/>
    <d v="2015-05-05T18:48:00"/>
    <x v="408"/>
    <x v="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x v="0"/>
    <n v="9"/>
    <x v="1"/>
    <s v="theater/spaces"/>
    <n v="2"/>
    <n v="67.78"/>
    <x v="1"/>
    <x v="38"/>
    <x v="3085"/>
    <d v="2015-09-29T21:12:39"/>
    <x v="1"/>
    <x v="0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x v="0"/>
    <n v="3"/>
    <x v="1"/>
    <s v="theater/spaces"/>
    <n v="0"/>
    <n v="16.670000000000002"/>
    <x v="1"/>
    <x v="38"/>
    <x v="3086"/>
    <d v="2015-08-17T16:05:59"/>
    <x v="14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x v="0"/>
    <n v="2"/>
    <x v="1"/>
    <s v="theater/spaces"/>
    <n v="1"/>
    <n v="62.5"/>
    <x v="1"/>
    <x v="38"/>
    <x v="3087"/>
    <d v="2016-12-21T04:36:30"/>
    <x v="27"/>
    <x v="2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x v="0"/>
    <n v="3"/>
    <x v="1"/>
    <s v="theater/spaces"/>
    <n v="0"/>
    <n v="42"/>
    <x v="1"/>
    <x v="38"/>
    <x v="3088"/>
    <d v="2015-01-08T13:41:00"/>
    <x v="102"/>
    <x v="3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x v="0"/>
    <n v="45"/>
    <x v="1"/>
    <s v="theater/spaces"/>
    <n v="23"/>
    <n v="130.09"/>
    <x v="1"/>
    <x v="38"/>
    <x v="3089"/>
    <d v="2016-07-09T01:59:00"/>
    <x v="851"/>
    <x v="2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x v="0"/>
    <n v="9"/>
    <x v="1"/>
    <s v="theater/spaces"/>
    <n v="5"/>
    <n v="1270.22"/>
    <x v="1"/>
    <x v="38"/>
    <x v="3090"/>
    <d v="2015-05-01T18:39:05"/>
    <x v="80"/>
    <x v="0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x v="0"/>
    <n v="9"/>
    <x v="1"/>
    <s v="theater/spaces"/>
    <n v="16"/>
    <n v="88.44"/>
    <x v="1"/>
    <x v="38"/>
    <x v="3091"/>
    <d v="2016-08-14T22:45:43"/>
    <x v="1"/>
    <x v="2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x v="0"/>
    <n v="21"/>
    <x v="1"/>
    <s v="theater/spaces"/>
    <n v="1"/>
    <n v="56.34"/>
    <x v="1"/>
    <x v="38"/>
    <x v="3092"/>
    <d v="2015-10-15T22:00:00"/>
    <x v="852"/>
    <x v="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x v="0"/>
    <n v="17"/>
    <x v="1"/>
    <s v="theater/spaces"/>
    <n v="23"/>
    <n v="53.53"/>
    <x v="1"/>
    <x v="38"/>
    <x v="3093"/>
    <d v="2014-06-01T03:59:00"/>
    <x v="853"/>
    <x v="3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x v="0"/>
    <n v="1"/>
    <x v="1"/>
    <s v="theater/spaces"/>
    <n v="0"/>
    <n v="25"/>
    <x v="1"/>
    <x v="38"/>
    <x v="3094"/>
    <d v="2015-09-20T19:05:56"/>
    <x v="14"/>
    <x v="0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x v="0"/>
    <n v="1"/>
    <x v="1"/>
    <s v="theater/spaces"/>
    <n v="0"/>
    <n v="50"/>
    <x v="1"/>
    <x v="38"/>
    <x v="3095"/>
    <d v="2016-08-01T00:36:20"/>
    <x v="14"/>
    <x v="2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x v="0"/>
    <n v="14"/>
    <x v="1"/>
    <s v="theater/spaces"/>
    <n v="4"/>
    <n v="56.79"/>
    <x v="1"/>
    <x v="38"/>
    <x v="3096"/>
    <d v="2015-05-20T19:48:46"/>
    <x v="1"/>
    <x v="0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x v="0"/>
    <n v="42"/>
    <x v="1"/>
    <s v="theater/spaces"/>
    <n v="17"/>
    <n v="40.83"/>
    <x v="1"/>
    <x v="38"/>
    <x v="3097"/>
    <d v="2016-10-07T14:00:00"/>
    <x v="707"/>
    <x v="2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x v="0"/>
    <n v="27"/>
    <x v="1"/>
    <s v="theater/spaces"/>
    <n v="4"/>
    <n v="65.11"/>
    <x v="1"/>
    <x v="38"/>
    <x v="3098"/>
    <d v="2016-02-08T00:17:00"/>
    <x v="854"/>
    <x v="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x v="0"/>
    <n v="5"/>
    <x v="1"/>
    <s v="theater/spaces"/>
    <n v="14"/>
    <n v="55.6"/>
    <x v="1"/>
    <x v="38"/>
    <x v="3099"/>
    <d v="2016-02-12T04:33:11"/>
    <x v="1"/>
    <x v="2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x v="0"/>
    <n v="13"/>
    <x v="1"/>
    <s v="theater/spaces"/>
    <n v="15"/>
    <n v="140.54"/>
    <x v="1"/>
    <x v="38"/>
    <x v="3100"/>
    <d v="2014-10-20T14:56:15"/>
    <x v="1"/>
    <x v="3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x v="0"/>
    <n v="12"/>
    <x v="1"/>
    <s v="theater/spaces"/>
    <n v="12"/>
    <n v="25"/>
    <x v="1"/>
    <x v="38"/>
    <x v="3101"/>
    <d v="2015-07-16T07:56:00"/>
    <x v="97"/>
    <x v="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x v="0"/>
    <n v="90"/>
    <x v="1"/>
    <s v="theater/spaces"/>
    <n v="39"/>
    <n v="69.53"/>
    <x v="1"/>
    <x v="38"/>
    <x v="3102"/>
    <d v="2016-08-23T08:10:18"/>
    <x v="76"/>
    <x v="2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x v="0"/>
    <n v="2"/>
    <x v="1"/>
    <s v="theater/spaces"/>
    <n v="0"/>
    <n v="5.5"/>
    <x v="1"/>
    <x v="38"/>
    <x v="3103"/>
    <d v="2015-06-12T03:45:06"/>
    <x v="14"/>
    <x v="0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x v="0"/>
    <n v="5"/>
    <x v="1"/>
    <s v="theater/spaces"/>
    <n v="30"/>
    <n v="237"/>
    <x v="1"/>
    <x v="38"/>
    <x v="3104"/>
    <d v="2015-02-03T02:00:00"/>
    <x v="271"/>
    <x v="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x v="0"/>
    <n v="31"/>
    <x v="1"/>
    <s v="theater/spaces"/>
    <n v="42"/>
    <n v="79.87"/>
    <x v="1"/>
    <x v="38"/>
    <x v="3105"/>
    <d v="2014-10-19T05:00:00"/>
    <x v="855"/>
    <x v="3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x v="0"/>
    <n v="4"/>
    <x v="1"/>
    <s v="theater/spaces"/>
    <n v="4"/>
    <n v="10.25"/>
    <x v="1"/>
    <x v="38"/>
    <x v="3106"/>
    <d v="2015-09-16T22:00:00"/>
    <x v="726"/>
    <x v="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x v="0"/>
    <n v="29"/>
    <x v="1"/>
    <s v="theater/spaces"/>
    <n v="20"/>
    <n v="272.58999999999997"/>
    <x v="1"/>
    <x v="38"/>
    <x v="3107"/>
    <d v="2015-05-11T19:32:31"/>
    <x v="354"/>
    <x v="0"/>
  </r>
  <r>
    <x v="3108"/>
    <s v="Funding a home for our Children's Theater"/>
    <s v="We need a permanent home for the theater!"/>
    <x v="63"/>
    <x v="375"/>
    <x v="2"/>
    <x v="0"/>
    <s v="USD"/>
    <n v="1430234394"/>
    <x v="3108"/>
    <x v="0"/>
    <n v="2"/>
    <x v="1"/>
    <s v="theater/spaces"/>
    <n v="0"/>
    <n v="13"/>
    <x v="1"/>
    <x v="38"/>
    <x v="3108"/>
    <d v="2015-04-28T15:19:54"/>
    <x v="80"/>
    <x v="0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x v="0"/>
    <n v="114"/>
    <x v="1"/>
    <s v="theater/spaces"/>
    <n v="25"/>
    <n v="58.18"/>
    <x v="1"/>
    <x v="38"/>
    <x v="3109"/>
    <d v="2014-08-28T03:00:10"/>
    <x v="6"/>
    <x v="3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x v="0"/>
    <n v="1"/>
    <x v="1"/>
    <s v="theater/spaces"/>
    <n v="0"/>
    <n v="10"/>
    <x v="1"/>
    <x v="38"/>
    <x v="3110"/>
    <d v="2017-02-19T00:45:19"/>
    <x v="4"/>
    <x v="1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x v="0"/>
    <n v="76"/>
    <x v="1"/>
    <s v="theater/spaces"/>
    <n v="27"/>
    <n v="70.11"/>
    <x v="1"/>
    <x v="38"/>
    <x v="3111"/>
    <d v="2014-10-04T14:17:00"/>
    <x v="102"/>
    <x v="3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x v="0"/>
    <n v="9"/>
    <x v="1"/>
    <s v="theater/spaces"/>
    <n v="5"/>
    <n v="57.89"/>
    <x v="1"/>
    <x v="38"/>
    <x v="3112"/>
    <d v="2016-11-01T02:55:34"/>
    <x v="14"/>
    <x v="2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x v="0"/>
    <n v="37"/>
    <x v="1"/>
    <s v="theater/spaces"/>
    <n v="4"/>
    <n v="125.27"/>
    <x v="1"/>
    <x v="38"/>
    <x v="3113"/>
    <d v="2015-04-17T17:33:02"/>
    <x v="1"/>
    <x v="0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x v="0"/>
    <n v="0"/>
    <x v="1"/>
    <s v="theater/spaces"/>
    <n v="0"/>
    <n v="0"/>
    <x v="1"/>
    <x v="38"/>
    <x v="3114"/>
    <d v="2014-09-21T15:10:50"/>
    <x v="14"/>
    <x v="3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x v="0"/>
    <n v="1"/>
    <x v="1"/>
    <s v="theater/spaces"/>
    <n v="3"/>
    <n v="300"/>
    <x v="1"/>
    <x v="38"/>
    <x v="3115"/>
    <d v="2016-06-05T10:43:47"/>
    <x v="1"/>
    <x v="2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x v="0"/>
    <n v="10"/>
    <x v="1"/>
    <s v="theater/spaces"/>
    <n v="57"/>
    <n v="43"/>
    <x v="1"/>
    <x v="38"/>
    <x v="3116"/>
    <d v="2015-04-01T12:22:05"/>
    <x v="59"/>
    <x v="0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x v="0"/>
    <n v="1"/>
    <x v="1"/>
    <s v="theater/spaces"/>
    <n v="0"/>
    <n v="1"/>
    <x v="1"/>
    <x v="38"/>
    <x v="3117"/>
    <d v="2016-05-27T13:12:00"/>
    <x v="856"/>
    <x v="2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x v="0"/>
    <n v="2"/>
    <x v="1"/>
    <s v="theater/spaces"/>
    <n v="0"/>
    <n v="775"/>
    <x v="1"/>
    <x v="38"/>
    <x v="3118"/>
    <d v="2016-07-02T15:35:23"/>
    <x v="857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x v="0"/>
    <n v="1"/>
    <x v="1"/>
    <s v="theater/spaces"/>
    <n v="0"/>
    <n v="5"/>
    <x v="1"/>
    <x v="38"/>
    <x v="3119"/>
    <d v="2015-03-27T00:05:32"/>
    <x v="22"/>
    <x v="0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x v="0"/>
    <n v="10"/>
    <x v="1"/>
    <s v="theater/spaces"/>
    <n v="0"/>
    <n v="12.8"/>
    <x v="1"/>
    <x v="38"/>
    <x v="3120"/>
    <d v="2016-05-05T21:36:36"/>
    <x v="80"/>
    <x v="2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x v="0"/>
    <n v="1"/>
    <x v="1"/>
    <s v="theater/spaces"/>
    <n v="1"/>
    <n v="10"/>
    <x v="1"/>
    <x v="38"/>
    <x v="3121"/>
    <d v="2014-09-26T16:18:55"/>
    <x v="14"/>
    <x v="3"/>
  </r>
  <r>
    <x v="3122"/>
    <s v="be back soon (Canceled)"/>
    <s v="cancelled until further notice"/>
    <x v="212"/>
    <x v="851"/>
    <x v="1"/>
    <x v="0"/>
    <s v="USD"/>
    <n v="1478733732"/>
    <x v="3122"/>
    <x v="0"/>
    <n v="2"/>
    <x v="1"/>
    <s v="theater/spaces"/>
    <n v="58"/>
    <n v="58"/>
    <x v="1"/>
    <x v="38"/>
    <x v="3122"/>
    <d v="2016-11-09T23:22:12"/>
    <x v="858"/>
    <x v="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x v="0"/>
    <n v="348"/>
    <x v="1"/>
    <s v="theater/spaces"/>
    <n v="68"/>
    <n v="244.8"/>
    <x v="1"/>
    <x v="38"/>
    <x v="3123"/>
    <d v="2016-07-09T23:49:58"/>
    <x v="1"/>
    <x v="2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x v="0"/>
    <n v="4"/>
    <x v="1"/>
    <s v="theater/spaces"/>
    <n v="0"/>
    <n v="6.5"/>
    <x v="1"/>
    <x v="38"/>
    <x v="3124"/>
    <d v="2015-02-02T18:43:21"/>
    <x v="14"/>
    <x v="3"/>
  </r>
  <r>
    <x v="3125"/>
    <s v="N/A (Canceled)"/>
    <s v="N/A"/>
    <x v="86"/>
    <x v="117"/>
    <x v="1"/>
    <x v="0"/>
    <s v="USD"/>
    <n v="1452142672"/>
    <x v="3125"/>
    <x v="0"/>
    <n v="0"/>
    <x v="1"/>
    <s v="theater/spaces"/>
    <n v="0"/>
    <n v="0"/>
    <x v="1"/>
    <x v="38"/>
    <x v="3125"/>
    <d v="2016-01-07T04:57:52"/>
    <x v="1"/>
    <x v="0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x v="0"/>
    <n v="17"/>
    <x v="1"/>
    <s v="theater/spaces"/>
    <n v="4"/>
    <n v="61.18"/>
    <x v="1"/>
    <x v="38"/>
    <x v="3126"/>
    <d v="2016-03-27T23:26:02"/>
    <x v="22"/>
    <x v="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x v="0"/>
    <n v="0"/>
    <x v="1"/>
    <s v="theater/spaces"/>
    <n v="0"/>
    <n v="0"/>
    <x v="1"/>
    <x v="38"/>
    <x v="3127"/>
    <d v="2015-03-01T20:33:49"/>
    <x v="1"/>
    <x v="0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x v="0"/>
    <n v="117"/>
    <x v="1"/>
    <s v="theater/plays"/>
    <n v="109"/>
    <n v="139.24"/>
    <x v="1"/>
    <x v="6"/>
    <x v="3128"/>
    <d v="2017-03-16T18:49:01"/>
    <x v="22"/>
    <x v="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x v="0"/>
    <n v="1"/>
    <x v="1"/>
    <s v="theater/plays"/>
    <n v="1"/>
    <n v="10"/>
    <x v="1"/>
    <x v="6"/>
    <x v="3129"/>
    <d v="2017-04-18T19:13:39"/>
    <x v="136"/>
    <x v="1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x v="0"/>
    <n v="4"/>
    <x v="1"/>
    <s v="theater/plays"/>
    <n v="4"/>
    <n v="93.75"/>
    <x v="1"/>
    <x v="6"/>
    <x v="3130"/>
    <d v="2017-04-14T04:59:00"/>
    <x v="172"/>
    <x v="1"/>
  </r>
  <r>
    <x v="3131"/>
    <s v="SNAKE EYES"/>
    <s v="A Staged Reading of &quot;Snake Eyes,&quot; a new play by Alex Rafala"/>
    <x v="393"/>
    <x v="2043"/>
    <x v="3"/>
    <x v="0"/>
    <s v="USD"/>
    <n v="1491656045"/>
    <x v="3131"/>
    <x v="0"/>
    <n v="12"/>
    <x v="1"/>
    <s v="theater/plays"/>
    <n v="16"/>
    <n v="53.75"/>
    <x v="1"/>
    <x v="6"/>
    <x v="3131"/>
    <d v="2017-04-08T12:54:05"/>
    <x v="22"/>
    <x v="1"/>
  </r>
  <r>
    <x v="3132"/>
    <s v="A Bite of a Snake Play"/>
    <s v="Smells Like Money, Drips Like Honey, Taste Like Mocha, Better Run AWAY"/>
    <x v="11"/>
    <x v="115"/>
    <x v="3"/>
    <x v="0"/>
    <s v="USD"/>
    <n v="1492759460"/>
    <x v="3132"/>
    <x v="0"/>
    <n v="1"/>
    <x v="1"/>
    <s v="theater/plays"/>
    <n v="0"/>
    <n v="10"/>
    <x v="1"/>
    <x v="6"/>
    <x v="3132"/>
    <d v="2017-04-21T07:24:20"/>
    <x v="80"/>
    <x v="1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x v="0"/>
    <n v="16"/>
    <x v="1"/>
    <s v="theater/plays"/>
    <n v="108"/>
    <n v="33.75"/>
    <x v="1"/>
    <x v="6"/>
    <x v="3133"/>
    <d v="2017-03-24T12:33:54"/>
    <x v="22"/>
    <x v="1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x v="0"/>
    <n v="12"/>
    <x v="1"/>
    <s v="theater/plays"/>
    <n v="23"/>
    <n v="18.75"/>
    <x v="1"/>
    <x v="6"/>
    <x v="3134"/>
    <d v="2017-03-27T16:16:59"/>
    <x v="287"/>
    <x v="1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x v="0"/>
    <n v="7"/>
    <x v="1"/>
    <s v="theater/plays"/>
    <n v="21"/>
    <n v="23.14"/>
    <x v="1"/>
    <x v="6"/>
    <x v="3135"/>
    <d v="2017-04-04T03:38:41"/>
    <x v="35"/>
    <x v="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x v="0"/>
    <n v="22"/>
    <x v="1"/>
    <s v="theater/plays"/>
    <n v="128"/>
    <n v="29.05"/>
    <x v="1"/>
    <x v="6"/>
    <x v="3136"/>
    <d v="2017-03-31T22:59:00"/>
    <x v="859"/>
    <x v="1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x v="0"/>
    <n v="1"/>
    <x v="1"/>
    <s v="theater/plays"/>
    <n v="3"/>
    <n v="50"/>
    <x v="1"/>
    <x v="6"/>
    <x v="3137"/>
    <d v="2017-05-03T19:12:00"/>
    <x v="860"/>
    <x v="1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x v="0"/>
    <n v="0"/>
    <x v="1"/>
    <s v="theater/plays"/>
    <n v="0"/>
    <n v="0"/>
    <x v="1"/>
    <x v="6"/>
    <x v="3138"/>
    <d v="2017-04-03T15:30:07"/>
    <x v="857"/>
    <x v="1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x v="0"/>
    <n v="6"/>
    <x v="1"/>
    <s v="theater/plays"/>
    <n v="5"/>
    <n v="450"/>
    <x v="1"/>
    <x v="6"/>
    <x v="3139"/>
    <d v="2017-03-25T04:33:00"/>
    <x v="861"/>
    <x v="1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x v="0"/>
    <n v="4"/>
    <x v="1"/>
    <s v="theater/plays"/>
    <n v="1"/>
    <n v="24"/>
    <x v="1"/>
    <x v="6"/>
    <x v="3140"/>
    <d v="2017-04-07T16:15:03"/>
    <x v="22"/>
    <x v="1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x v="0"/>
    <n v="8"/>
    <x v="1"/>
    <s v="theater/plays"/>
    <n v="52"/>
    <n v="32.25"/>
    <x v="1"/>
    <x v="6"/>
    <x v="3141"/>
    <d v="2017-04-16T20:00:00"/>
    <x v="862"/>
    <x v="1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x v="0"/>
    <n v="3"/>
    <x v="1"/>
    <s v="theater/plays"/>
    <n v="2"/>
    <n v="15"/>
    <x v="1"/>
    <x v="6"/>
    <x v="3142"/>
    <d v="2017-03-19T11:18:59"/>
    <x v="22"/>
    <x v="1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x v="0"/>
    <n v="0"/>
    <x v="1"/>
    <s v="theater/plays"/>
    <n v="0"/>
    <n v="0"/>
    <x v="1"/>
    <x v="6"/>
    <x v="3143"/>
    <d v="2017-04-09T08:35:56"/>
    <x v="47"/>
    <x v="1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x v="0"/>
    <n v="30"/>
    <x v="1"/>
    <s v="theater/plays"/>
    <n v="75"/>
    <n v="251.33"/>
    <x v="1"/>
    <x v="6"/>
    <x v="3144"/>
    <d v="2017-03-19T06:00:00"/>
    <x v="863"/>
    <x v="1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x v="0"/>
    <n v="0"/>
    <x v="1"/>
    <s v="theater/plays"/>
    <n v="0"/>
    <n v="0"/>
    <x v="1"/>
    <x v="6"/>
    <x v="3145"/>
    <d v="2017-03-27T23:58:54"/>
    <x v="80"/>
    <x v="1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x v="0"/>
    <n v="12"/>
    <x v="1"/>
    <s v="theater/plays"/>
    <n v="11"/>
    <n v="437.5"/>
    <x v="1"/>
    <x v="6"/>
    <x v="3146"/>
    <d v="2017-04-16T15:22:46"/>
    <x v="129"/>
    <x v="1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x v="1"/>
    <n v="213"/>
    <x v="0"/>
    <s v="theater/plays"/>
    <n v="118"/>
    <n v="110.35"/>
    <x v="1"/>
    <x v="6"/>
    <x v="3147"/>
    <d v="2014-11-07T00:15:55"/>
    <x v="182"/>
    <x v="3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x v="1"/>
    <n v="57"/>
    <x v="0"/>
    <s v="theater/plays"/>
    <n v="131"/>
    <n v="41.42"/>
    <x v="1"/>
    <x v="6"/>
    <x v="3148"/>
    <d v="2014-10-01T04:00:00"/>
    <x v="864"/>
    <x v="3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x v="1"/>
    <n v="25"/>
    <x v="0"/>
    <s v="theater/plays"/>
    <n v="104"/>
    <n v="52"/>
    <x v="1"/>
    <x v="6"/>
    <x v="3149"/>
    <d v="2012-12-07T02:00:00"/>
    <x v="865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x v="1"/>
    <n v="104"/>
    <x v="0"/>
    <s v="theater/plays"/>
    <n v="101"/>
    <n v="33.99"/>
    <x v="1"/>
    <x v="6"/>
    <x v="3150"/>
    <d v="2011-01-25T04:00:00"/>
    <x v="866"/>
    <x v="7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x v="1"/>
    <n v="34"/>
    <x v="0"/>
    <s v="theater/plays"/>
    <n v="100"/>
    <n v="103.35"/>
    <x v="1"/>
    <x v="6"/>
    <x v="3151"/>
    <d v="2014-09-10T20:09:34"/>
    <x v="1"/>
    <x v="3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x v="1"/>
    <n v="67"/>
    <x v="0"/>
    <s v="theater/plays"/>
    <n v="106"/>
    <n v="34.79"/>
    <x v="1"/>
    <x v="6"/>
    <x v="3152"/>
    <d v="2013-11-02T20:49:27"/>
    <x v="1"/>
    <x v="4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x v="1"/>
    <n v="241"/>
    <x v="0"/>
    <s v="theater/plays"/>
    <n v="336"/>
    <n v="41.77"/>
    <x v="1"/>
    <x v="6"/>
    <x v="3153"/>
    <d v="2011-05-01T04:59:00"/>
    <x v="388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x v="1"/>
    <n v="123"/>
    <x v="0"/>
    <s v="theater/plays"/>
    <n v="113"/>
    <n v="64.27"/>
    <x v="1"/>
    <x v="6"/>
    <x v="3154"/>
    <d v="2012-04-01T20:00:58"/>
    <x v="22"/>
    <x v="5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x v="1"/>
    <n v="302"/>
    <x v="0"/>
    <s v="theater/plays"/>
    <n v="189"/>
    <n v="31.21"/>
    <x v="1"/>
    <x v="6"/>
    <x v="3155"/>
    <d v="2012-12-20T11:58:45"/>
    <x v="1"/>
    <x v="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x v="1"/>
    <n v="89"/>
    <x v="0"/>
    <s v="theater/plays"/>
    <n v="102"/>
    <n v="62.92"/>
    <x v="1"/>
    <x v="6"/>
    <x v="3156"/>
    <d v="2012-06-01T22:52:24"/>
    <x v="6"/>
    <x v="5"/>
  </r>
  <r>
    <x v="3157"/>
    <s v="Summer FourPlay"/>
    <s v="Four Directors.  Four One Acts.  Four Genres.  For You."/>
    <x v="23"/>
    <x v="74"/>
    <x v="0"/>
    <x v="0"/>
    <s v="USD"/>
    <n v="1405746000"/>
    <x v="3157"/>
    <x v="1"/>
    <n v="41"/>
    <x v="0"/>
    <s v="theater/plays"/>
    <n v="101"/>
    <n v="98.54"/>
    <x v="1"/>
    <x v="6"/>
    <x v="3157"/>
    <d v="2014-07-19T05:00:00"/>
    <x v="867"/>
    <x v="3"/>
  </r>
  <r>
    <x v="3158"/>
    <s v="Nursery Crimes"/>
    <s v="A 40s crime-noir play using nursery rhyme characters."/>
    <x v="10"/>
    <x v="2080"/>
    <x v="0"/>
    <x v="0"/>
    <s v="USD"/>
    <n v="1374523752"/>
    <x v="3158"/>
    <x v="1"/>
    <n v="69"/>
    <x v="0"/>
    <s v="theater/plays"/>
    <n v="114"/>
    <n v="82.61"/>
    <x v="1"/>
    <x v="6"/>
    <x v="3158"/>
    <d v="2013-07-22T20:09:12"/>
    <x v="1"/>
    <x v="4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x v="3159"/>
    <x v="1"/>
    <n v="52"/>
    <x v="0"/>
    <s v="theater/plays"/>
    <n v="133"/>
    <n v="38.5"/>
    <x v="1"/>
    <x v="6"/>
    <x v="3159"/>
    <d v="2012-01-18T23:00:00"/>
    <x v="868"/>
    <x v="6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x v="1"/>
    <n v="57"/>
    <x v="0"/>
    <s v="theater/plays"/>
    <n v="102"/>
    <n v="80.16"/>
    <x v="1"/>
    <x v="6"/>
    <x v="3160"/>
    <d v="2014-08-13T04:59:00"/>
    <x v="869"/>
    <x v="3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x v="1"/>
    <n v="74"/>
    <x v="0"/>
    <s v="theater/plays"/>
    <n v="105"/>
    <n v="28.41"/>
    <x v="1"/>
    <x v="6"/>
    <x v="3161"/>
    <d v="2014-10-15T12:52:02"/>
    <x v="1"/>
    <x v="3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x v="1"/>
    <n v="63"/>
    <x v="0"/>
    <s v="theater/plays"/>
    <n v="127"/>
    <n v="80.73"/>
    <x v="1"/>
    <x v="6"/>
    <x v="3162"/>
    <d v="2014-07-07T02:00:00"/>
    <x v="870"/>
    <x v="3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x v="1"/>
    <n v="72"/>
    <x v="0"/>
    <s v="theater/plays"/>
    <n v="111"/>
    <n v="200.69"/>
    <x v="1"/>
    <x v="6"/>
    <x v="3163"/>
    <d v="2014-06-15T18:05:25"/>
    <x v="1"/>
    <x v="3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x v="1"/>
    <n v="71"/>
    <x v="0"/>
    <s v="theater/plays"/>
    <n v="107"/>
    <n v="37.590000000000003"/>
    <x v="1"/>
    <x v="6"/>
    <x v="3164"/>
    <d v="2014-06-09T19:20:15"/>
    <x v="17"/>
    <x v="3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x v="1"/>
    <n v="21"/>
    <x v="0"/>
    <s v="theater/plays"/>
    <n v="163"/>
    <n v="58.1"/>
    <x v="1"/>
    <x v="6"/>
    <x v="3165"/>
    <d v="2011-05-03T03:59:00"/>
    <x v="871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x v="1"/>
    <n v="930"/>
    <x v="0"/>
    <s v="theater/plays"/>
    <n v="160"/>
    <n v="60.3"/>
    <x v="1"/>
    <x v="6"/>
    <x v="3166"/>
    <d v="2014-11-26T07:59:00"/>
    <x v="872"/>
    <x v="3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x v="3167"/>
    <x v="1"/>
    <n v="55"/>
    <x v="0"/>
    <s v="theater/plays"/>
    <n v="116"/>
    <n v="63.36"/>
    <x v="1"/>
    <x v="6"/>
    <x v="3167"/>
    <d v="2014-08-02T04:13:01"/>
    <x v="59"/>
    <x v="3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x v="1"/>
    <n v="61"/>
    <x v="0"/>
    <s v="theater/plays"/>
    <n v="124"/>
    <n v="50.9"/>
    <x v="1"/>
    <x v="6"/>
    <x v="3168"/>
    <d v="2014-06-13T22:00:00"/>
    <x v="873"/>
    <x v="3"/>
  </r>
  <r>
    <x v="3169"/>
    <s v="The Window"/>
    <s v="We're bringing The Window to the Cherry Lane Theater in January 2014."/>
    <x v="6"/>
    <x v="2091"/>
    <x v="0"/>
    <x v="0"/>
    <s v="USD"/>
    <n v="1386910740"/>
    <x v="3169"/>
    <x v="1"/>
    <n v="82"/>
    <x v="0"/>
    <s v="theater/plays"/>
    <n v="103"/>
    <n v="100.5"/>
    <x v="1"/>
    <x v="6"/>
    <x v="3169"/>
    <d v="2013-12-13T04:59:00"/>
    <x v="874"/>
    <x v="4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x v="1"/>
    <n v="71"/>
    <x v="0"/>
    <s v="theater/plays"/>
    <n v="112"/>
    <n v="31.62"/>
    <x v="1"/>
    <x v="6"/>
    <x v="3170"/>
    <d v="2014-07-02T04:00:00"/>
    <x v="875"/>
    <x v="3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x v="1"/>
    <n v="117"/>
    <x v="0"/>
    <s v="theater/plays"/>
    <n v="109"/>
    <n v="65.099999999999994"/>
    <x v="1"/>
    <x v="6"/>
    <x v="3171"/>
    <d v="2016-05-06T14:35:58"/>
    <x v="1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x v="1"/>
    <n v="29"/>
    <x v="0"/>
    <s v="theater/plays"/>
    <n v="115"/>
    <n v="79.31"/>
    <x v="1"/>
    <x v="6"/>
    <x v="3172"/>
    <d v="2012-02-14T17:31:08"/>
    <x v="1"/>
    <x v="5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x v="1"/>
    <n v="74"/>
    <x v="0"/>
    <s v="theater/plays"/>
    <n v="103"/>
    <n v="139.19"/>
    <x v="1"/>
    <x v="6"/>
    <x v="3173"/>
    <d v="2014-09-26T21:04:52"/>
    <x v="1"/>
    <x v="3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x v="1"/>
    <n v="23"/>
    <x v="0"/>
    <s v="theater/plays"/>
    <n v="101"/>
    <n v="131.91"/>
    <x v="1"/>
    <x v="6"/>
    <x v="3174"/>
    <d v="2014-08-25T20:45:08"/>
    <x v="59"/>
    <x v="3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x v="1"/>
    <n v="60"/>
    <x v="0"/>
    <s v="theater/plays"/>
    <n v="110"/>
    <n v="91.3"/>
    <x v="1"/>
    <x v="6"/>
    <x v="3175"/>
    <d v="2011-02-17T21:17:07"/>
    <x v="14"/>
    <x v="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x v="1"/>
    <n v="55"/>
    <x v="0"/>
    <s v="theater/plays"/>
    <n v="115"/>
    <n v="39.67"/>
    <x v="1"/>
    <x v="6"/>
    <x v="3176"/>
    <d v="2013-08-18T15:00:00"/>
    <x v="876"/>
    <x v="4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x v="1"/>
    <n v="51"/>
    <x v="0"/>
    <s v="theater/plays"/>
    <n v="117"/>
    <n v="57.55"/>
    <x v="1"/>
    <x v="6"/>
    <x v="3177"/>
    <d v="2014-06-21T16:00:09"/>
    <x v="1"/>
    <x v="3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x v="1"/>
    <n v="78"/>
    <x v="0"/>
    <s v="theater/plays"/>
    <n v="172"/>
    <n v="33.03"/>
    <x v="1"/>
    <x v="6"/>
    <x v="3178"/>
    <d v="2014-07-16T14:31:15"/>
    <x v="1"/>
    <x v="3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x v="3179"/>
    <x v="1"/>
    <n v="62"/>
    <x v="0"/>
    <s v="theater/plays"/>
    <n v="114"/>
    <n v="77.34"/>
    <x v="1"/>
    <x v="6"/>
    <x v="3179"/>
    <d v="2013-05-06T16:51:11"/>
    <x v="36"/>
    <x v="4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x v="1"/>
    <n v="45"/>
    <x v="0"/>
    <s v="theater/plays"/>
    <n v="120"/>
    <n v="31.93"/>
    <x v="1"/>
    <x v="6"/>
    <x v="3180"/>
    <d v="2014-06-20T09:54:09"/>
    <x v="1"/>
    <x v="3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x v="1"/>
    <n v="15"/>
    <x v="0"/>
    <s v="theater/plays"/>
    <n v="109"/>
    <n v="36.33"/>
    <x v="1"/>
    <x v="6"/>
    <x v="3181"/>
    <d v="2014-06-15T16:00:00"/>
    <x v="877"/>
    <x v="3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x v="1"/>
    <n v="151"/>
    <x v="0"/>
    <s v="theater/plays"/>
    <n v="101"/>
    <n v="46.77"/>
    <x v="1"/>
    <x v="6"/>
    <x v="3182"/>
    <d v="2012-01-31T17:00:00"/>
    <x v="878"/>
    <x v="6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x v="1"/>
    <n v="68"/>
    <x v="0"/>
    <s v="theater/plays"/>
    <n v="109"/>
    <n v="40.07"/>
    <x v="1"/>
    <x v="6"/>
    <x v="3183"/>
    <d v="2013-08-23T19:04:29"/>
    <x v="18"/>
    <x v="4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x v="1"/>
    <n v="46"/>
    <x v="0"/>
    <s v="theater/plays"/>
    <n v="107"/>
    <n v="100.22"/>
    <x v="1"/>
    <x v="6"/>
    <x v="3184"/>
    <d v="2014-07-01T23:50:31"/>
    <x v="1"/>
    <x v="3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x v="1"/>
    <n v="24"/>
    <x v="0"/>
    <s v="theater/plays"/>
    <n v="100"/>
    <n v="41.67"/>
    <x v="1"/>
    <x v="6"/>
    <x v="3185"/>
    <d v="2014-07-16T23:27:21"/>
    <x v="354"/>
    <x v="3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x v="1"/>
    <n v="70"/>
    <x v="0"/>
    <s v="theater/plays"/>
    <n v="102"/>
    <n v="46.71"/>
    <x v="1"/>
    <x v="6"/>
    <x v="3186"/>
    <d v="2014-09-16T21:00:00"/>
    <x v="97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x v="1"/>
    <n v="244"/>
    <x v="0"/>
    <s v="theater/plays"/>
    <n v="116"/>
    <n v="71.489999999999995"/>
    <x v="1"/>
    <x v="6"/>
    <x v="3187"/>
    <d v="2014-08-04T15:59:33"/>
    <x v="51"/>
    <x v="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x v="0"/>
    <n v="9"/>
    <x v="1"/>
    <s v="theater/musical"/>
    <n v="65"/>
    <n v="14.44"/>
    <x v="1"/>
    <x v="40"/>
    <x v="3188"/>
    <d v="2015-06-10T09:58:22"/>
    <x v="31"/>
    <x v="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x v="0"/>
    <n v="19"/>
    <x v="1"/>
    <s v="theater/musical"/>
    <n v="12"/>
    <n v="356.84"/>
    <x v="1"/>
    <x v="40"/>
    <x v="3189"/>
    <d v="2015-05-24T08:18:52"/>
    <x v="1"/>
    <x v="0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x v="0"/>
    <n v="0"/>
    <x v="1"/>
    <s v="theater/musical"/>
    <n v="0"/>
    <n v="0"/>
    <x v="1"/>
    <x v="40"/>
    <x v="3190"/>
    <d v="2016-12-09T04:37:55"/>
    <x v="13"/>
    <x v="2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x v="0"/>
    <n v="4"/>
    <x v="1"/>
    <s v="theater/musical"/>
    <n v="4"/>
    <n v="37.75"/>
    <x v="1"/>
    <x v="40"/>
    <x v="3191"/>
    <d v="2016-08-16T18:07:49"/>
    <x v="14"/>
    <x v="2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x v="0"/>
    <n v="8"/>
    <x v="1"/>
    <s v="theater/musical"/>
    <n v="1"/>
    <n v="12.75"/>
    <x v="1"/>
    <x v="40"/>
    <x v="3192"/>
    <d v="2015-02-28T22:00:00"/>
    <x v="879"/>
    <x v="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x v="0"/>
    <n v="24"/>
    <x v="1"/>
    <s v="theater/musical"/>
    <n v="12"/>
    <n v="24.46"/>
    <x v="1"/>
    <x v="40"/>
    <x v="3193"/>
    <d v="2015-02-20T23:14:16"/>
    <x v="26"/>
    <x v="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x v="0"/>
    <n v="0"/>
    <x v="1"/>
    <s v="theater/musical"/>
    <n v="0"/>
    <n v="0"/>
    <x v="1"/>
    <x v="40"/>
    <x v="3194"/>
    <d v="2015-07-27T01:29:58"/>
    <x v="1"/>
    <x v="0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x v="0"/>
    <n v="39"/>
    <x v="1"/>
    <s v="theater/musical"/>
    <n v="59"/>
    <n v="53.08"/>
    <x v="1"/>
    <x v="40"/>
    <x v="3195"/>
    <d v="2015-02-12T14:15:42"/>
    <x v="1"/>
    <x v="0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x v="0"/>
    <n v="6"/>
    <x v="1"/>
    <s v="theater/musical"/>
    <n v="0"/>
    <n v="300"/>
    <x v="1"/>
    <x v="40"/>
    <x v="3196"/>
    <d v="2015-08-01T14:00:00"/>
    <x v="196"/>
    <x v="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x v="0"/>
    <n v="4"/>
    <x v="1"/>
    <s v="theater/musical"/>
    <n v="11"/>
    <n v="286.25"/>
    <x v="1"/>
    <x v="40"/>
    <x v="3197"/>
    <d v="2015-02-04T11:50:18"/>
    <x v="1"/>
    <x v="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x v="0"/>
    <n v="3"/>
    <x v="1"/>
    <s v="theater/musical"/>
    <n v="0"/>
    <n v="36.67"/>
    <x v="1"/>
    <x v="40"/>
    <x v="3198"/>
    <d v="2015-02-16T10:11:17"/>
    <x v="327"/>
    <x v="0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x v="0"/>
    <n v="53"/>
    <x v="1"/>
    <s v="theater/musical"/>
    <n v="52"/>
    <n v="49.21"/>
    <x v="1"/>
    <x v="40"/>
    <x v="3199"/>
    <d v="2014-09-06T21:00:00"/>
    <x v="880"/>
    <x v="3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x v="0"/>
    <n v="1"/>
    <x v="1"/>
    <s v="theater/musical"/>
    <n v="0"/>
    <n v="1"/>
    <x v="1"/>
    <x v="40"/>
    <x v="3200"/>
    <d v="2016-04-30T05:34:00"/>
    <x v="530"/>
    <x v="2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x v="0"/>
    <n v="2"/>
    <x v="1"/>
    <s v="theater/musical"/>
    <n v="1"/>
    <n v="12.5"/>
    <x v="1"/>
    <x v="40"/>
    <x v="3201"/>
    <d v="2014-08-31T18:24:37"/>
    <x v="31"/>
    <x v="3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x v="0"/>
    <n v="25"/>
    <x v="1"/>
    <s v="theater/musical"/>
    <n v="55"/>
    <n v="109.04"/>
    <x v="1"/>
    <x v="40"/>
    <x v="3202"/>
    <d v="2015-12-14T05:59:00"/>
    <x v="881"/>
    <x v="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x v="0"/>
    <n v="6"/>
    <x v="1"/>
    <s v="theater/musical"/>
    <n v="25"/>
    <n v="41.67"/>
    <x v="1"/>
    <x v="40"/>
    <x v="3203"/>
    <d v="2015-09-25T23:43:42"/>
    <x v="1"/>
    <x v="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x v="0"/>
    <n v="0"/>
    <x v="1"/>
    <s v="theater/musical"/>
    <n v="0"/>
    <n v="0"/>
    <x v="1"/>
    <x v="40"/>
    <x v="3204"/>
    <d v="2015-07-17T16:14:00"/>
    <x v="99"/>
    <x v="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x v="0"/>
    <n v="12"/>
    <x v="1"/>
    <s v="theater/musical"/>
    <n v="3"/>
    <n v="22.75"/>
    <x v="1"/>
    <x v="40"/>
    <x v="3205"/>
    <d v="2015-05-01T08:59:32"/>
    <x v="1"/>
    <x v="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x v="0"/>
    <n v="0"/>
    <x v="1"/>
    <s v="theater/musical"/>
    <n v="0"/>
    <n v="0"/>
    <x v="1"/>
    <x v="40"/>
    <x v="3206"/>
    <d v="2015-09-19T06:37:31"/>
    <x v="1"/>
    <x v="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x v="0"/>
    <n v="36"/>
    <x v="1"/>
    <s v="theater/musical"/>
    <n v="46"/>
    <n v="70.83"/>
    <x v="1"/>
    <x v="40"/>
    <x v="3207"/>
    <d v="2015-04-23T05:40:07"/>
    <x v="80"/>
    <x v="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x v="1"/>
    <n v="82"/>
    <x v="0"/>
    <s v="theater/plays"/>
    <n v="104"/>
    <n v="63.11"/>
    <x v="1"/>
    <x v="6"/>
    <x v="3208"/>
    <d v="2014-07-28T14:31:17"/>
    <x v="31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x v="1"/>
    <n v="226"/>
    <x v="0"/>
    <s v="theater/plays"/>
    <n v="119"/>
    <n v="50.16"/>
    <x v="1"/>
    <x v="6"/>
    <x v="3209"/>
    <d v="2014-06-20T23:00:00"/>
    <x v="463"/>
    <x v="3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x v="1"/>
    <n v="60"/>
    <x v="0"/>
    <s v="theater/plays"/>
    <n v="126"/>
    <n v="62.88"/>
    <x v="1"/>
    <x v="6"/>
    <x v="3210"/>
    <d v="2012-06-01T03:59:00"/>
    <x v="882"/>
    <x v="5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x v="1"/>
    <n v="322"/>
    <x v="0"/>
    <s v="theater/plays"/>
    <n v="120"/>
    <n v="85.53"/>
    <x v="1"/>
    <x v="6"/>
    <x v="3211"/>
    <d v="2014-08-15T02:00:00"/>
    <x v="883"/>
    <x v="3"/>
  </r>
  <r>
    <x v="3212"/>
    <s v="Campo Maldito"/>
    <s v="Help us bring our production of Campo Maldito to New York AND San Francisco!"/>
    <x v="23"/>
    <x v="2111"/>
    <x v="0"/>
    <x v="0"/>
    <s v="USD"/>
    <n v="1407524751"/>
    <x v="3212"/>
    <x v="1"/>
    <n v="94"/>
    <x v="0"/>
    <s v="theater/plays"/>
    <n v="126"/>
    <n v="53.72"/>
    <x v="1"/>
    <x v="6"/>
    <x v="3212"/>
    <d v="2014-08-08T19:05:51"/>
    <x v="1"/>
    <x v="3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x v="1"/>
    <n v="47"/>
    <x v="0"/>
    <s v="theater/plays"/>
    <n v="100"/>
    <n v="127.81"/>
    <x v="1"/>
    <x v="6"/>
    <x v="3213"/>
    <d v="2015-07-26T18:19:19"/>
    <x v="4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x v="1"/>
    <n v="115"/>
    <x v="0"/>
    <s v="theater/plays"/>
    <n v="102"/>
    <n v="106.57"/>
    <x v="1"/>
    <x v="6"/>
    <x v="3214"/>
    <d v="2016-01-05T23:55:00"/>
    <x v="884"/>
    <x v="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x v="1"/>
    <n v="134"/>
    <x v="0"/>
    <s v="theater/plays"/>
    <n v="100"/>
    <n v="262.11"/>
    <x v="1"/>
    <x v="6"/>
    <x v="3215"/>
    <d v="2015-09-10T03:59:00"/>
    <x v="885"/>
    <x v="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x v="1"/>
    <n v="35"/>
    <x v="0"/>
    <s v="theater/plays"/>
    <n v="100"/>
    <n v="57.17"/>
    <x v="1"/>
    <x v="6"/>
    <x v="3216"/>
    <d v="2015-07-11T14:30:00"/>
    <x v="886"/>
    <x v="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x v="1"/>
    <n v="104"/>
    <x v="0"/>
    <s v="theater/plays"/>
    <n v="116"/>
    <n v="50.2"/>
    <x v="1"/>
    <x v="6"/>
    <x v="3217"/>
    <d v="2016-11-04T13:06:24"/>
    <x v="1"/>
    <x v="2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x v="1"/>
    <n v="184"/>
    <x v="0"/>
    <s v="theater/plays"/>
    <n v="102"/>
    <n v="66.59"/>
    <x v="1"/>
    <x v="6"/>
    <x v="3218"/>
    <d v="2014-12-31T00:00:00"/>
    <x v="17"/>
    <x v="3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x v="1"/>
    <n v="119"/>
    <x v="0"/>
    <s v="theater/plays"/>
    <n v="100"/>
    <n v="168.25"/>
    <x v="1"/>
    <x v="6"/>
    <x v="3219"/>
    <d v="2015-03-22T22:35:47"/>
    <x v="89"/>
    <x v="0"/>
  </r>
  <r>
    <x v="3220"/>
    <s v="Burners"/>
    <s v="A sci-fi thriller for the stage opening March 10 in Los Angeles."/>
    <x v="36"/>
    <x v="2117"/>
    <x v="0"/>
    <x v="0"/>
    <s v="USD"/>
    <n v="1489352400"/>
    <x v="3220"/>
    <x v="1"/>
    <n v="59"/>
    <x v="0"/>
    <s v="theater/plays"/>
    <n v="101"/>
    <n v="256.37"/>
    <x v="1"/>
    <x v="6"/>
    <x v="3220"/>
    <d v="2017-03-12T21:00:00"/>
    <x v="87"/>
    <x v="1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x v="1"/>
    <n v="113"/>
    <x v="0"/>
    <s v="theater/plays"/>
    <n v="103"/>
    <n v="36.61"/>
    <x v="1"/>
    <x v="6"/>
    <x v="3221"/>
    <d v="2015-07-05T16:43:23"/>
    <x v="6"/>
    <x v="0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x v="1"/>
    <n v="84"/>
    <x v="0"/>
    <s v="theater/plays"/>
    <n v="125"/>
    <n v="37.14"/>
    <x v="1"/>
    <x v="6"/>
    <x v="3222"/>
    <d v="2015-10-24T21:29:00"/>
    <x v="887"/>
    <x v="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x v="1"/>
    <n v="74"/>
    <x v="0"/>
    <s v="theater/plays"/>
    <n v="110"/>
    <n v="45.88"/>
    <x v="1"/>
    <x v="6"/>
    <x v="3223"/>
    <d v="2015-08-20T20:02:56"/>
    <x v="1"/>
    <x v="0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x v="1"/>
    <n v="216"/>
    <x v="0"/>
    <s v="theater/plays"/>
    <n v="102"/>
    <n v="141.71"/>
    <x v="1"/>
    <x v="6"/>
    <x v="3224"/>
    <d v="2017-01-10T05:00:00"/>
    <x v="888"/>
    <x v="2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x v="1"/>
    <n v="39"/>
    <x v="0"/>
    <s v="theater/plays"/>
    <n v="102"/>
    <n v="52.49"/>
    <x v="1"/>
    <x v="6"/>
    <x v="3225"/>
    <d v="2016-06-03T21:00:00"/>
    <x v="889"/>
    <x v="2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x v="1"/>
    <n v="21"/>
    <x v="0"/>
    <s v="theater/plays"/>
    <n v="104"/>
    <n v="59.52"/>
    <x v="1"/>
    <x v="6"/>
    <x v="3226"/>
    <d v="2015-10-30T14:00:12"/>
    <x v="1"/>
    <x v="0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x v="0"/>
    <n v="30"/>
    <x v="0"/>
    <s v="theater/plays"/>
    <n v="125"/>
    <n v="50"/>
    <x v="1"/>
    <x v="6"/>
    <x v="3227"/>
    <d v="2017-01-17T21:10:36"/>
    <x v="1"/>
    <x v="2"/>
  </r>
  <r>
    <x v="3228"/>
    <s v="Hear Me Roar: A Season of Powerful Women"/>
    <s v="A Season of Powerful Women. A Season of Defiance."/>
    <x v="39"/>
    <x v="2123"/>
    <x v="0"/>
    <x v="0"/>
    <s v="USD"/>
    <n v="1450328340"/>
    <x v="3228"/>
    <x v="1"/>
    <n v="37"/>
    <x v="0"/>
    <s v="theater/plays"/>
    <n v="102"/>
    <n v="193.62"/>
    <x v="1"/>
    <x v="6"/>
    <x v="3228"/>
    <d v="2015-12-17T04:59:00"/>
    <x v="883"/>
    <x v="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x v="1"/>
    <n v="202"/>
    <x v="0"/>
    <s v="theater/plays"/>
    <n v="108"/>
    <n v="106.8"/>
    <x v="1"/>
    <x v="6"/>
    <x v="3229"/>
    <d v="2014-11-20T07:59:58"/>
    <x v="13"/>
    <x v="3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x v="1"/>
    <n v="37"/>
    <x v="0"/>
    <s v="theater/plays"/>
    <n v="110"/>
    <n v="77.22"/>
    <x v="1"/>
    <x v="6"/>
    <x v="3230"/>
    <d v="2014-10-01T03:59:00"/>
    <x v="20"/>
    <x v="3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x v="0"/>
    <n v="28"/>
    <x v="0"/>
    <s v="theater/plays"/>
    <n v="161"/>
    <n v="57.5"/>
    <x v="1"/>
    <x v="6"/>
    <x v="3231"/>
    <d v="2016-04-16T22:39:07"/>
    <x v="1"/>
    <x v="2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x v="1"/>
    <n v="26"/>
    <x v="0"/>
    <s v="theater/plays"/>
    <n v="131"/>
    <n v="50.46"/>
    <x v="1"/>
    <x v="6"/>
    <x v="3232"/>
    <d v="2016-05-04T03:59:00"/>
    <x v="248"/>
    <x v="2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x v="0"/>
    <n v="61"/>
    <x v="0"/>
    <s v="theater/plays"/>
    <n v="119"/>
    <n v="97.38"/>
    <x v="1"/>
    <x v="6"/>
    <x v="3233"/>
    <d v="2017-03-02T19:19:15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x v="0"/>
    <n v="115"/>
    <x v="0"/>
    <s v="theater/plays"/>
    <n v="100"/>
    <n v="34.92"/>
    <x v="1"/>
    <x v="6"/>
    <x v="3234"/>
    <d v="2017-02-01T23:31:00"/>
    <x v="890"/>
    <x v="2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x v="1"/>
    <n v="181"/>
    <x v="0"/>
    <s v="theater/plays"/>
    <n v="103"/>
    <n v="85.53"/>
    <x v="1"/>
    <x v="6"/>
    <x v="3235"/>
    <d v="2016-07-01T08:20:51"/>
    <x v="1"/>
    <x v="2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x v="0"/>
    <n v="110"/>
    <x v="0"/>
    <s v="theater/plays"/>
    <n v="101"/>
    <n v="182.91"/>
    <x v="1"/>
    <x v="6"/>
    <x v="3236"/>
    <d v="2016-12-28T22:00:33"/>
    <x v="1"/>
    <x v="2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x v="1"/>
    <n v="269"/>
    <x v="0"/>
    <s v="theater/plays"/>
    <n v="101"/>
    <n v="131.13999999999999"/>
    <x v="1"/>
    <x v="6"/>
    <x v="3237"/>
    <d v="2015-09-29T03:59:00"/>
    <x v="891"/>
    <x v="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x v="1"/>
    <n v="79"/>
    <x v="0"/>
    <s v="theater/plays"/>
    <n v="112"/>
    <n v="39.81"/>
    <x v="1"/>
    <x v="6"/>
    <x v="3238"/>
    <d v="2015-07-01T12:14:58"/>
    <x v="1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x v="1"/>
    <n v="104"/>
    <x v="0"/>
    <s v="theater/plays"/>
    <n v="106"/>
    <n v="59.7"/>
    <x v="1"/>
    <x v="6"/>
    <x v="3239"/>
    <d v="2015-10-25T23:59:00"/>
    <x v="892"/>
    <x v="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x v="0"/>
    <n v="34"/>
    <x v="0"/>
    <s v="theater/plays"/>
    <n v="101"/>
    <n v="88.74"/>
    <x v="1"/>
    <x v="6"/>
    <x v="3240"/>
    <d v="2017-02-16T23:00:00"/>
    <x v="893"/>
    <x v="1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x v="1"/>
    <n v="167"/>
    <x v="0"/>
    <s v="theater/plays"/>
    <n v="115"/>
    <n v="58.69"/>
    <x v="1"/>
    <x v="6"/>
    <x v="3241"/>
    <d v="2014-10-14T06:59:00"/>
    <x v="894"/>
    <x v="3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x v="1"/>
    <n v="183"/>
    <x v="0"/>
    <s v="theater/plays"/>
    <n v="127"/>
    <n v="69.569999999999993"/>
    <x v="1"/>
    <x v="6"/>
    <x v="3242"/>
    <d v="2014-09-19T18:08:12"/>
    <x v="1"/>
    <x v="3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x v="1"/>
    <n v="71"/>
    <x v="0"/>
    <s v="theater/plays"/>
    <n v="103"/>
    <n v="115.87"/>
    <x v="1"/>
    <x v="6"/>
    <x v="3243"/>
    <d v="2015-10-09T00:00:00"/>
    <x v="895"/>
    <x v="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x v="0"/>
    <n v="69"/>
    <x v="0"/>
    <s v="theater/plays"/>
    <n v="103"/>
    <n v="23.87"/>
    <x v="1"/>
    <x v="6"/>
    <x v="3244"/>
    <d v="2016-12-01T17:39:42"/>
    <x v="13"/>
    <x v="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x v="0"/>
    <n v="270"/>
    <x v="0"/>
    <s v="theater/plays"/>
    <n v="104"/>
    <n v="81.13"/>
    <x v="1"/>
    <x v="6"/>
    <x v="3245"/>
    <d v="2015-06-12T02:00:00"/>
    <x v="313"/>
    <x v="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x v="1"/>
    <n v="193"/>
    <x v="0"/>
    <s v="theater/plays"/>
    <n v="111"/>
    <n v="57.63"/>
    <x v="1"/>
    <x v="6"/>
    <x v="3246"/>
    <d v="2015-09-12T03:59:00"/>
    <x v="829"/>
    <x v="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x v="1"/>
    <n v="57"/>
    <x v="0"/>
    <s v="theater/plays"/>
    <n v="106"/>
    <n v="46.43"/>
    <x v="1"/>
    <x v="6"/>
    <x v="3247"/>
    <d v="2015-07-12T10:25:12"/>
    <x v="1"/>
    <x v="0"/>
  </r>
  <r>
    <x v="3248"/>
    <s v="Honest Accomplice Theatre 2015-16 Season"/>
    <s v="Honest Accomplice Theatre produces theatre for social change."/>
    <x v="14"/>
    <x v="2142"/>
    <x v="0"/>
    <x v="0"/>
    <s v="USD"/>
    <n v="1428178757"/>
    <x v="3248"/>
    <x v="1"/>
    <n v="200"/>
    <x v="0"/>
    <s v="theater/plays"/>
    <n v="101"/>
    <n v="60.48"/>
    <x v="1"/>
    <x v="6"/>
    <x v="3248"/>
    <d v="2015-04-04T20:19:17"/>
    <x v="22"/>
    <x v="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x v="1"/>
    <n v="88"/>
    <x v="0"/>
    <s v="theater/plays"/>
    <n v="105"/>
    <n v="65.58"/>
    <x v="1"/>
    <x v="6"/>
    <x v="3249"/>
    <d v="2015-06-20T17:55:14"/>
    <x v="1"/>
    <x v="0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x v="1"/>
    <n v="213"/>
    <x v="0"/>
    <s v="theater/plays"/>
    <n v="102"/>
    <n v="119.19"/>
    <x v="1"/>
    <x v="6"/>
    <x v="3250"/>
    <d v="2014-11-05T18:48:44"/>
    <x v="13"/>
    <x v="3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x v="1"/>
    <n v="20"/>
    <x v="0"/>
    <s v="theater/plays"/>
    <n v="111"/>
    <n v="83.05"/>
    <x v="1"/>
    <x v="6"/>
    <x v="3251"/>
    <d v="2015-06-21T17:32:46"/>
    <x v="1"/>
    <x v="0"/>
  </r>
  <r>
    <x v="3252"/>
    <s v="Modern Love"/>
    <s v="How do we navigate the boundaries between friendship, sexual intimacy and obsessive desire?"/>
    <x v="268"/>
    <x v="2145"/>
    <x v="0"/>
    <x v="1"/>
    <s v="GBP"/>
    <n v="1473247240"/>
    <x v="3252"/>
    <x v="1"/>
    <n v="50"/>
    <x v="0"/>
    <s v="theater/plays"/>
    <n v="128"/>
    <n v="57.52"/>
    <x v="1"/>
    <x v="6"/>
    <x v="3252"/>
    <d v="2016-09-07T11:20:40"/>
    <x v="1"/>
    <x v="2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x v="1"/>
    <n v="115"/>
    <x v="0"/>
    <s v="theater/plays"/>
    <n v="102"/>
    <n v="177.09"/>
    <x v="1"/>
    <x v="6"/>
    <x v="3253"/>
    <d v="2016-09-08T03:45:00"/>
    <x v="896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x v="1"/>
    <n v="186"/>
    <x v="0"/>
    <s v="theater/plays"/>
    <n v="101"/>
    <n v="70.77"/>
    <x v="1"/>
    <x v="6"/>
    <x v="3254"/>
    <d v="2015-03-26T01:03:29"/>
    <x v="22"/>
    <x v="0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x v="1"/>
    <n v="18"/>
    <x v="0"/>
    <s v="theater/plays"/>
    <n v="175"/>
    <n v="29.17"/>
    <x v="1"/>
    <x v="6"/>
    <x v="3255"/>
    <d v="2014-10-07T18:26:15"/>
    <x v="1"/>
    <x v="3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x v="1"/>
    <n v="176"/>
    <x v="0"/>
    <s v="theater/plays"/>
    <n v="128"/>
    <n v="72.760000000000005"/>
    <x v="1"/>
    <x v="6"/>
    <x v="3256"/>
    <d v="2015-06-11T03:59:00"/>
    <x v="897"/>
    <x v="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x v="0"/>
    <n v="41"/>
    <x v="0"/>
    <s v="theater/plays"/>
    <n v="106"/>
    <n v="51.85"/>
    <x v="1"/>
    <x v="6"/>
    <x v="3257"/>
    <d v="2017-02-22T13:25:52"/>
    <x v="1"/>
    <x v="1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x v="1"/>
    <n v="75"/>
    <x v="0"/>
    <s v="theater/plays"/>
    <n v="105"/>
    <n v="98.2"/>
    <x v="1"/>
    <x v="6"/>
    <x v="3258"/>
    <d v="2015-01-08T21:17:41"/>
    <x v="1"/>
    <x v="3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x v="1"/>
    <n v="97"/>
    <x v="0"/>
    <s v="theater/plays"/>
    <n v="106"/>
    <n v="251.74"/>
    <x v="1"/>
    <x v="6"/>
    <x v="3259"/>
    <d v="2016-10-01T03:59:00"/>
    <x v="144"/>
    <x v="2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x v="1"/>
    <n v="73"/>
    <x v="0"/>
    <s v="theater/plays"/>
    <n v="109"/>
    <n v="74.819999999999993"/>
    <x v="1"/>
    <x v="6"/>
    <x v="3260"/>
    <d v="2015-11-30T17:08:38"/>
    <x v="145"/>
    <x v="0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x v="1"/>
    <n v="49"/>
    <x v="0"/>
    <s v="theater/plays"/>
    <n v="100"/>
    <n v="67.650000000000006"/>
    <x v="1"/>
    <x v="6"/>
    <x v="3261"/>
    <d v="2015-07-16T17:24:36"/>
    <x v="1"/>
    <x v="0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x v="1"/>
    <n v="134"/>
    <x v="0"/>
    <s v="theater/plays"/>
    <n v="103"/>
    <n v="93.81"/>
    <x v="1"/>
    <x v="6"/>
    <x v="3262"/>
    <d v="2014-12-22T04:00:00"/>
    <x v="898"/>
    <x v="3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x v="1"/>
    <n v="68"/>
    <x v="0"/>
    <s v="theater/plays"/>
    <n v="112"/>
    <n v="41.24"/>
    <x v="1"/>
    <x v="6"/>
    <x v="3263"/>
    <d v="2015-10-30T21:00:00"/>
    <x v="899"/>
    <x v="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x v="3264"/>
    <x v="1"/>
    <n v="49"/>
    <x v="0"/>
    <s v="theater/plays"/>
    <n v="103"/>
    <n v="52.55"/>
    <x v="1"/>
    <x v="6"/>
    <x v="3264"/>
    <d v="2015-01-28T22:00:00"/>
    <x v="900"/>
    <x v="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x v="1"/>
    <n v="63"/>
    <x v="0"/>
    <s v="theater/plays"/>
    <n v="164"/>
    <n v="70.290000000000006"/>
    <x v="1"/>
    <x v="6"/>
    <x v="3265"/>
    <d v="2015-12-03T17:00:00"/>
    <x v="1"/>
    <x v="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x v="1"/>
    <n v="163"/>
    <x v="0"/>
    <s v="theater/plays"/>
    <n v="131"/>
    <n v="48.33"/>
    <x v="1"/>
    <x v="6"/>
    <x v="3266"/>
    <d v="2015-06-12T21:00:00"/>
    <x v="901"/>
    <x v="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x v="1"/>
    <n v="288"/>
    <x v="0"/>
    <s v="theater/plays"/>
    <n v="102"/>
    <n v="53.18"/>
    <x v="1"/>
    <x v="6"/>
    <x v="3267"/>
    <d v="2015-07-17T18:11:00"/>
    <x v="1"/>
    <x v="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x v="1"/>
    <n v="42"/>
    <x v="0"/>
    <s v="theater/plays"/>
    <n v="128"/>
    <n v="60.95"/>
    <x v="1"/>
    <x v="6"/>
    <x v="3268"/>
    <d v="2016-08-24T21:42:08"/>
    <x v="184"/>
    <x v="2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x v="1"/>
    <n v="70"/>
    <x v="0"/>
    <s v="theater/plays"/>
    <n v="102"/>
    <n v="116"/>
    <x v="1"/>
    <x v="6"/>
    <x v="3269"/>
    <d v="2015-06-16T11:00:00"/>
    <x v="902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x v="1"/>
    <n v="30"/>
    <x v="0"/>
    <s v="theater/plays"/>
    <n v="102"/>
    <n v="61"/>
    <x v="1"/>
    <x v="6"/>
    <x v="3270"/>
    <d v="2015-07-12T12:47:45"/>
    <x v="1"/>
    <x v="0"/>
  </r>
  <r>
    <x v="3271"/>
    <s v="Saxon Court at Southwark Playhouse"/>
    <s v="A razor sharp satire to darken your Christmas."/>
    <x v="15"/>
    <x v="2161"/>
    <x v="0"/>
    <x v="1"/>
    <s v="GBP"/>
    <n v="1414927775"/>
    <x v="3271"/>
    <x v="1"/>
    <n v="51"/>
    <x v="0"/>
    <s v="theater/plays"/>
    <n v="130"/>
    <n v="38.24"/>
    <x v="1"/>
    <x v="6"/>
    <x v="3271"/>
    <d v="2014-11-02T11:29:35"/>
    <x v="13"/>
    <x v="3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x v="1"/>
    <n v="145"/>
    <x v="0"/>
    <s v="theater/plays"/>
    <n v="154"/>
    <n v="106.5"/>
    <x v="1"/>
    <x v="6"/>
    <x v="3272"/>
    <d v="2015-11-06T13:00:09"/>
    <x v="13"/>
    <x v="0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x v="1"/>
    <n v="21"/>
    <x v="0"/>
    <s v="theater/plays"/>
    <n v="107"/>
    <n v="204.57"/>
    <x v="1"/>
    <x v="6"/>
    <x v="3273"/>
    <d v="2016-09-14T19:00:00"/>
    <x v="903"/>
    <x v="2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x v="1"/>
    <n v="286"/>
    <x v="0"/>
    <s v="theater/plays"/>
    <n v="101"/>
    <n v="54.91"/>
    <x v="1"/>
    <x v="6"/>
    <x v="3274"/>
    <d v="2016-03-15T21:00:00"/>
    <x v="904"/>
    <x v="2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x v="1"/>
    <n v="12"/>
    <x v="0"/>
    <s v="theater/plays"/>
    <n v="100"/>
    <n v="150.41999999999999"/>
    <x v="1"/>
    <x v="6"/>
    <x v="3275"/>
    <d v="2015-02-09T04:30:00"/>
    <x v="905"/>
    <x v="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x v="1"/>
    <n v="100"/>
    <x v="0"/>
    <s v="theater/plays"/>
    <n v="117"/>
    <n v="52.58"/>
    <x v="1"/>
    <x v="6"/>
    <x v="3276"/>
    <d v="2016-04-01T03:59:00"/>
    <x v="261"/>
    <x v="2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x v="1"/>
    <n v="100"/>
    <x v="0"/>
    <s v="theater/plays"/>
    <n v="109"/>
    <n v="54.3"/>
    <x v="1"/>
    <x v="6"/>
    <x v="3277"/>
    <d v="2014-11-18T17:23:26"/>
    <x v="13"/>
    <x v="3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x v="1"/>
    <n v="34"/>
    <x v="0"/>
    <s v="theater/plays"/>
    <n v="103"/>
    <n v="76.03"/>
    <x v="1"/>
    <x v="6"/>
    <x v="3278"/>
    <d v="2015-05-30T20:21:43"/>
    <x v="1"/>
    <x v="0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x v="0"/>
    <n v="63"/>
    <x v="0"/>
    <s v="theater/plays"/>
    <n v="114"/>
    <n v="105.21"/>
    <x v="1"/>
    <x v="6"/>
    <x v="3279"/>
    <d v="2016-04-01T01:27:39"/>
    <x v="22"/>
    <x v="2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x v="0"/>
    <n v="30"/>
    <x v="0"/>
    <s v="theater/plays"/>
    <n v="103"/>
    <n v="68.67"/>
    <x v="1"/>
    <x v="6"/>
    <x v="3280"/>
    <d v="2015-06-01T05:00:00"/>
    <x v="906"/>
    <x v="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x v="0"/>
    <n v="47"/>
    <x v="0"/>
    <s v="theater/plays"/>
    <n v="122"/>
    <n v="129.36000000000001"/>
    <x v="1"/>
    <x v="6"/>
    <x v="3281"/>
    <d v="2015-09-02T00:28:25"/>
    <x v="1"/>
    <x v="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x v="0"/>
    <n v="237"/>
    <x v="0"/>
    <s v="theater/plays"/>
    <n v="103"/>
    <n v="134.26"/>
    <x v="1"/>
    <x v="6"/>
    <x v="3282"/>
    <d v="2016-04-29T04:39:48"/>
    <x v="603"/>
    <x v="2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x v="0"/>
    <n v="47"/>
    <x v="0"/>
    <s v="theater/plays"/>
    <n v="105"/>
    <n v="17.829999999999998"/>
    <x v="1"/>
    <x v="6"/>
    <x v="3283"/>
    <d v="2016-02-10T21:00:00"/>
    <x v="907"/>
    <x v="2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x v="0"/>
    <n v="15"/>
    <x v="0"/>
    <s v="theater/plays"/>
    <n v="102"/>
    <n v="203.2"/>
    <x v="1"/>
    <x v="6"/>
    <x v="3284"/>
    <d v="2016-01-29T05:59:00"/>
    <x v="908"/>
    <x v="2"/>
  </r>
  <r>
    <x v="3285"/>
    <s v="By Morning"/>
    <s v="A new play by Matthew Gasda"/>
    <x v="402"/>
    <x v="2173"/>
    <x v="0"/>
    <x v="0"/>
    <s v="USD"/>
    <n v="1488258000"/>
    <x v="3285"/>
    <x v="0"/>
    <n v="81"/>
    <x v="0"/>
    <s v="theater/plays"/>
    <n v="112"/>
    <n v="69.19"/>
    <x v="1"/>
    <x v="6"/>
    <x v="3285"/>
    <d v="2017-02-28T05:00:00"/>
    <x v="423"/>
    <x v="1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x v="0"/>
    <n v="122"/>
    <x v="0"/>
    <s v="theater/plays"/>
    <n v="102"/>
    <n v="125.12"/>
    <x v="1"/>
    <x v="6"/>
    <x v="3286"/>
    <d v="2016-08-15T20:09:42"/>
    <x v="1"/>
    <x v="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x v="0"/>
    <n v="34"/>
    <x v="0"/>
    <s v="theater/plays"/>
    <n v="100"/>
    <n v="73.53"/>
    <x v="1"/>
    <x v="6"/>
    <x v="3287"/>
    <d v="2015-11-28T18:00:28"/>
    <x v="36"/>
    <x v="0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x v="0"/>
    <n v="207"/>
    <x v="0"/>
    <s v="theater/plays"/>
    <n v="100"/>
    <n v="48.44"/>
    <x v="1"/>
    <x v="6"/>
    <x v="3288"/>
    <d v="2016-06-20T23:00:00"/>
    <x v="53"/>
    <x v="2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x v="0"/>
    <n v="25"/>
    <x v="0"/>
    <s v="theater/plays"/>
    <n v="133"/>
    <n v="26.61"/>
    <x v="1"/>
    <x v="6"/>
    <x v="3289"/>
    <d v="2017-02-20T08:50:02"/>
    <x v="240"/>
    <x v="1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x v="0"/>
    <n v="72"/>
    <x v="0"/>
    <s v="theater/plays"/>
    <n v="121"/>
    <n v="33.67"/>
    <x v="1"/>
    <x v="6"/>
    <x v="3290"/>
    <d v="2017-03-11T12:21:31"/>
    <x v="1"/>
    <x v="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x v="0"/>
    <n v="14"/>
    <x v="0"/>
    <s v="theater/plays"/>
    <n v="114"/>
    <n v="40.71"/>
    <x v="1"/>
    <x v="6"/>
    <x v="3291"/>
    <d v="2015-09-17T03:59:00"/>
    <x v="625"/>
    <x v="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x v="0"/>
    <n v="15"/>
    <x v="0"/>
    <s v="theater/plays"/>
    <n v="286"/>
    <n v="19.27"/>
    <x v="1"/>
    <x v="6"/>
    <x v="3292"/>
    <d v="2015-12-04T19:29:08"/>
    <x v="27"/>
    <x v="0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x v="0"/>
    <n v="91"/>
    <x v="0"/>
    <s v="theater/plays"/>
    <n v="170"/>
    <n v="84.29"/>
    <x v="1"/>
    <x v="6"/>
    <x v="3293"/>
    <d v="2017-03-04T10:12:32"/>
    <x v="1"/>
    <x v="1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x v="0"/>
    <n v="24"/>
    <x v="0"/>
    <s v="theater/plays"/>
    <n v="118"/>
    <n v="29.58"/>
    <x v="1"/>
    <x v="6"/>
    <x v="3294"/>
    <d v="2015-06-16T12:59:14"/>
    <x v="1"/>
    <x v="0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x v="0"/>
    <n v="27"/>
    <x v="0"/>
    <s v="theater/plays"/>
    <n v="103"/>
    <n v="26.67"/>
    <x v="1"/>
    <x v="6"/>
    <x v="3295"/>
    <d v="2016-09-26T10:37:09"/>
    <x v="1"/>
    <x v="2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x v="0"/>
    <n v="47"/>
    <x v="0"/>
    <s v="theater/plays"/>
    <n v="144"/>
    <n v="45.98"/>
    <x v="1"/>
    <x v="6"/>
    <x v="3296"/>
    <d v="2015-11-22T22:00:00"/>
    <x v="909"/>
    <x v="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x v="0"/>
    <n v="44"/>
    <x v="0"/>
    <s v="theater/plays"/>
    <n v="100"/>
    <n v="125.09"/>
    <x v="1"/>
    <x v="6"/>
    <x v="3297"/>
    <d v="2015-07-27T22:59:00"/>
    <x v="828"/>
    <x v="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x v="0"/>
    <n v="72"/>
    <x v="0"/>
    <s v="theater/plays"/>
    <n v="102"/>
    <n v="141.29"/>
    <x v="1"/>
    <x v="6"/>
    <x v="3298"/>
    <d v="2015-09-13T00:00:00"/>
    <x v="54"/>
    <x v="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x v="0"/>
    <n v="63"/>
    <x v="0"/>
    <s v="theater/plays"/>
    <n v="116"/>
    <n v="55.33"/>
    <x v="1"/>
    <x v="6"/>
    <x v="3299"/>
    <d v="2015-10-14T22:01:03"/>
    <x v="1"/>
    <x v="0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x v="0"/>
    <n v="88"/>
    <x v="0"/>
    <s v="theater/plays"/>
    <n v="136"/>
    <n v="46.42"/>
    <x v="1"/>
    <x v="6"/>
    <x v="3300"/>
    <d v="2015-04-29T17:51:02"/>
    <x v="31"/>
    <x v="0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x v="0"/>
    <n v="70"/>
    <x v="0"/>
    <s v="theater/plays"/>
    <n v="133"/>
    <n v="57.2"/>
    <x v="1"/>
    <x v="6"/>
    <x v="3301"/>
    <d v="2016-08-01T06:59:00"/>
    <x v="426"/>
    <x v="2"/>
  </r>
  <r>
    <x v="3302"/>
    <s v="El muro de BorÃ­s KiÃ©n"/>
    <s v="FilosofÃ­a de los anÃ³nimos"/>
    <x v="33"/>
    <x v="2186"/>
    <x v="0"/>
    <x v="3"/>
    <s v="EUR"/>
    <n v="1481099176"/>
    <x v="3302"/>
    <x v="0"/>
    <n v="50"/>
    <x v="0"/>
    <s v="theater/plays"/>
    <n v="103"/>
    <n v="173.7"/>
    <x v="1"/>
    <x v="6"/>
    <x v="3302"/>
    <d v="2016-12-07T08:26:16"/>
    <x v="1"/>
    <x v="2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x v="0"/>
    <n v="35"/>
    <x v="0"/>
    <s v="theater/plays"/>
    <n v="116"/>
    <n v="59.6"/>
    <x v="1"/>
    <x v="6"/>
    <x v="3303"/>
    <d v="2015-03-28T14:38:04"/>
    <x v="89"/>
    <x v="0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x v="0"/>
    <n v="175"/>
    <x v="0"/>
    <s v="theater/plays"/>
    <n v="105"/>
    <n v="89.59"/>
    <x v="1"/>
    <x v="6"/>
    <x v="3304"/>
    <d v="2016-12-22T14:59:12"/>
    <x v="1"/>
    <x v="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x v="0"/>
    <n v="20"/>
    <x v="0"/>
    <s v="theater/plays"/>
    <n v="102"/>
    <n v="204.05"/>
    <x v="1"/>
    <x v="6"/>
    <x v="3305"/>
    <d v="2015-07-31T20:32:28"/>
    <x v="1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x v="0"/>
    <n v="54"/>
    <x v="0"/>
    <s v="theater/plays"/>
    <n v="175"/>
    <n v="48.7"/>
    <x v="1"/>
    <x v="6"/>
    <x v="3306"/>
    <d v="2016-06-10T03:00:00"/>
    <x v="910"/>
    <x v="2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x v="0"/>
    <n v="20"/>
    <x v="0"/>
    <s v="theater/plays"/>
    <n v="107"/>
    <n v="53.34"/>
    <x v="1"/>
    <x v="6"/>
    <x v="3307"/>
    <d v="2016-05-15T01:22:19"/>
    <x v="1"/>
    <x v="2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x v="0"/>
    <n v="57"/>
    <x v="0"/>
    <s v="theater/plays"/>
    <n v="122"/>
    <n v="75.09"/>
    <x v="1"/>
    <x v="6"/>
    <x v="3308"/>
    <d v="2016-04-13T21:02:45"/>
    <x v="31"/>
    <x v="2"/>
  </r>
  <r>
    <x v="3309"/>
    <s v="Collision Course"/>
    <s v="Two unlikely friends, a garage, tinned beans &amp; the end of the world."/>
    <x v="18"/>
    <x v="2191"/>
    <x v="0"/>
    <x v="1"/>
    <s v="GBP"/>
    <n v="1476632178"/>
    <x v="3309"/>
    <x v="0"/>
    <n v="31"/>
    <x v="0"/>
    <s v="theater/plays"/>
    <n v="159"/>
    <n v="18"/>
    <x v="1"/>
    <x v="6"/>
    <x v="3309"/>
    <d v="2016-10-16T15:36:18"/>
    <x v="102"/>
    <x v="2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x v="0"/>
    <n v="31"/>
    <x v="0"/>
    <s v="theater/plays"/>
    <n v="100"/>
    <n v="209.84"/>
    <x v="1"/>
    <x v="6"/>
    <x v="3310"/>
    <d v="2015-10-06T22:17:05"/>
    <x v="1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x v="0"/>
    <n v="45"/>
    <x v="0"/>
    <s v="theater/plays"/>
    <n v="110"/>
    <n v="61.02"/>
    <x v="1"/>
    <x v="6"/>
    <x v="3311"/>
    <d v="2015-10-17T07:00:10"/>
    <x v="1"/>
    <x v="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x v="0"/>
    <n v="41"/>
    <x v="0"/>
    <s v="theater/plays"/>
    <n v="100"/>
    <n v="61"/>
    <x v="1"/>
    <x v="6"/>
    <x v="3312"/>
    <d v="2016-11-11T22:00:00"/>
    <x v="911"/>
    <x v="2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x v="0"/>
    <n v="29"/>
    <x v="0"/>
    <s v="theater/plays"/>
    <n v="116"/>
    <n v="80.03"/>
    <x v="1"/>
    <x v="6"/>
    <x v="3313"/>
    <d v="2016-01-27T01:00:00"/>
    <x v="912"/>
    <x v="2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x v="0"/>
    <n v="58"/>
    <x v="0"/>
    <s v="theater/plays"/>
    <n v="211"/>
    <n v="29.07"/>
    <x v="1"/>
    <x v="6"/>
    <x v="3314"/>
    <d v="2015-05-08T20:05:00"/>
    <x v="913"/>
    <x v="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x v="0"/>
    <n v="89"/>
    <x v="0"/>
    <s v="theater/plays"/>
    <n v="110"/>
    <n v="49.44"/>
    <x v="1"/>
    <x v="6"/>
    <x v="3315"/>
    <d v="2016-05-06T07:17:21"/>
    <x v="1"/>
    <x v="2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x v="0"/>
    <n v="125"/>
    <x v="0"/>
    <s v="theater/plays"/>
    <n v="100"/>
    <n v="93.98"/>
    <x v="1"/>
    <x v="6"/>
    <x v="3316"/>
    <d v="2014-08-08T13:54:00"/>
    <x v="914"/>
    <x v="3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x v="0"/>
    <n v="18"/>
    <x v="0"/>
    <s v="theater/plays"/>
    <n v="106"/>
    <n v="61.94"/>
    <x v="1"/>
    <x v="6"/>
    <x v="3317"/>
    <d v="2016-06-08T00:57:04"/>
    <x v="1"/>
    <x v="2"/>
  </r>
  <r>
    <x v="3318"/>
    <s v="ROOMIES - Atlantic Canada Tour 2016-17"/>
    <s v="Help us strengthen and inspire disability arts in Atlantic Canada"/>
    <x v="13"/>
    <x v="2197"/>
    <x v="0"/>
    <x v="5"/>
    <s v="CAD"/>
    <n v="1460341800"/>
    <x v="3318"/>
    <x v="0"/>
    <n v="32"/>
    <x v="0"/>
    <s v="theater/plays"/>
    <n v="126"/>
    <n v="78.5"/>
    <x v="1"/>
    <x v="6"/>
    <x v="3318"/>
    <d v="2016-04-11T02:30:00"/>
    <x v="91"/>
    <x v="2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x v="0"/>
    <n v="16"/>
    <x v="0"/>
    <s v="theater/plays"/>
    <n v="108"/>
    <n v="33.75"/>
    <x v="1"/>
    <x v="6"/>
    <x v="3319"/>
    <d v="2015-01-31T14:03:06"/>
    <x v="26"/>
    <x v="3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x v="0"/>
    <n v="38"/>
    <x v="0"/>
    <s v="theater/plays"/>
    <n v="101"/>
    <n v="66.45"/>
    <x v="1"/>
    <x v="6"/>
    <x v="3320"/>
    <d v="2016-06-22T01:05:57"/>
    <x v="1"/>
    <x v="2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x v="0"/>
    <n v="15"/>
    <x v="0"/>
    <s v="theater/plays"/>
    <n v="107"/>
    <n v="35.799999999999997"/>
    <x v="1"/>
    <x v="6"/>
    <x v="3321"/>
    <d v="2014-10-16T03:59:00"/>
    <x v="915"/>
    <x v="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x v="0"/>
    <n v="23"/>
    <x v="0"/>
    <s v="theater/plays"/>
    <n v="102"/>
    <n v="145.65"/>
    <x v="1"/>
    <x v="6"/>
    <x v="3322"/>
    <d v="2016-06-22T03:55:00"/>
    <x v="162"/>
    <x v="2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x v="0"/>
    <n v="49"/>
    <x v="0"/>
    <s v="theater/plays"/>
    <n v="126"/>
    <n v="25.69"/>
    <x v="1"/>
    <x v="6"/>
    <x v="3323"/>
    <d v="2016-09-25T08:46:48"/>
    <x v="1"/>
    <x v="2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x v="0"/>
    <n v="10"/>
    <x v="0"/>
    <s v="theater/plays"/>
    <n v="102"/>
    <n v="152.5"/>
    <x v="1"/>
    <x v="6"/>
    <x v="3324"/>
    <d v="2016-06-05T13:59:50"/>
    <x v="59"/>
    <x v="2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x v="0"/>
    <n v="15"/>
    <x v="0"/>
    <s v="theater/plays"/>
    <n v="113"/>
    <n v="30"/>
    <x v="1"/>
    <x v="6"/>
    <x v="3325"/>
    <d v="2015-04-05T17:51:17"/>
    <x v="89"/>
    <x v="0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x v="0"/>
    <n v="57"/>
    <x v="0"/>
    <s v="theater/plays"/>
    <n v="101"/>
    <n v="142.28"/>
    <x v="1"/>
    <x v="6"/>
    <x v="3326"/>
    <d v="2015-03-08T16:08:25"/>
    <x v="22"/>
    <x v="0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x v="0"/>
    <n v="33"/>
    <x v="0"/>
    <s v="theater/plays"/>
    <n v="101"/>
    <n v="24.55"/>
    <x v="1"/>
    <x v="6"/>
    <x v="3327"/>
    <d v="2016-05-08T08:59:26"/>
    <x v="1"/>
    <x v="2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x v="0"/>
    <n v="9"/>
    <x v="0"/>
    <s v="theater/plays"/>
    <n v="146"/>
    <n v="292.77999999999997"/>
    <x v="1"/>
    <x v="6"/>
    <x v="3328"/>
    <d v="2014-07-05T01:00:00"/>
    <x v="916"/>
    <x v="3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x v="0"/>
    <n v="26"/>
    <x v="0"/>
    <s v="theater/plays"/>
    <n v="117"/>
    <n v="44.92"/>
    <x v="1"/>
    <x v="6"/>
    <x v="3329"/>
    <d v="2014-07-27T23:00:00"/>
    <x v="917"/>
    <x v="3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x v="0"/>
    <n v="69"/>
    <x v="0"/>
    <s v="theater/plays"/>
    <n v="106"/>
    <n v="23.1"/>
    <x v="1"/>
    <x v="6"/>
    <x v="3330"/>
    <d v="2015-04-01T20:17:48"/>
    <x v="22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x v="0"/>
    <n v="65"/>
    <x v="0"/>
    <s v="theater/plays"/>
    <n v="105"/>
    <n v="80.400000000000006"/>
    <x v="1"/>
    <x v="6"/>
    <x v="3331"/>
    <d v="2015-10-06T16:44:46"/>
    <x v="6"/>
    <x v="0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x v="0"/>
    <n v="83"/>
    <x v="0"/>
    <s v="theater/plays"/>
    <n v="100"/>
    <n v="72.290000000000006"/>
    <x v="1"/>
    <x v="6"/>
    <x v="3332"/>
    <d v="2014-07-19T20:38:50"/>
    <x v="1"/>
    <x v="3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x v="0"/>
    <n v="111"/>
    <x v="0"/>
    <s v="theater/plays"/>
    <n v="105"/>
    <n v="32.97"/>
    <x v="1"/>
    <x v="6"/>
    <x v="3333"/>
    <d v="2015-06-15T16:14:40"/>
    <x v="35"/>
    <x v="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x v="0"/>
    <n v="46"/>
    <x v="0"/>
    <s v="theater/plays"/>
    <n v="139"/>
    <n v="116.65"/>
    <x v="1"/>
    <x v="6"/>
    <x v="3334"/>
    <d v="2015-07-30T12:30:22"/>
    <x v="1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x v="0"/>
    <n v="63"/>
    <x v="0"/>
    <s v="theater/plays"/>
    <n v="100"/>
    <n v="79.62"/>
    <x v="1"/>
    <x v="6"/>
    <x v="3335"/>
    <d v="2014-08-03T23:00:00"/>
    <x v="918"/>
    <x v="3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x v="0"/>
    <n v="9"/>
    <x v="0"/>
    <s v="theater/plays"/>
    <n v="100"/>
    <n v="27.78"/>
    <x v="1"/>
    <x v="6"/>
    <x v="3336"/>
    <d v="2016-04-05T08:34:06"/>
    <x v="296"/>
    <x v="2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x v="0"/>
    <n v="34"/>
    <x v="0"/>
    <s v="theater/plays"/>
    <n v="110"/>
    <n v="81.03"/>
    <x v="1"/>
    <x v="6"/>
    <x v="3337"/>
    <d v="2014-10-10T21:00:00"/>
    <x v="897"/>
    <x v="3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x v="3338"/>
    <x v="0"/>
    <n v="112"/>
    <x v="0"/>
    <s v="theater/plays"/>
    <n v="102"/>
    <n v="136.85"/>
    <x v="1"/>
    <x v="6"/>
    <x v="3338"/>
    <d v="2017-02-24T13:48:00"/>
    <x v="31"/>
    <x v="1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x v="0"/>
    <n v="47"/>
    <x v="0"/>
    <s v="theater/plays"/>
    <n v="104"/>
    <n v="177.62"/>
    <x v="1"/>
    <x v="6"/>
    <x v="3339"/>
    <d v="2016-07-28T15:58:38"/>
    <x v="1"/>
    <x v="2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x v="0"/>
    <n v="38"/>
    <x v="0"/>
    <s v="theater/plays"/>
    <n v="138"/>
    <n v="109.08"/>
    <x v="1"/>
    <x v="6"/>
    <x v="3340"/>
    <d v="2016-12-06T23:22:34"/>
    <x v="36"/>
    <x v="2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x v="0"/>
    <n v="28"/>
    <x v="0"/>
    <s v="theater/plays"/>
    <n v="100"/>
    <n v="119.64"/>
    <x v="1"/>
    <x v="6"/>
    <x v="3341"/>
    <d v="2016-06-12T17:00:00"/>
    <x v="341"/>
    <x v="2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x v="0"/>
    <n v="78"/>
    <x v="0"/>
    <s v="theater/plays"/>
    <n v="102"/>
    <n v="78.209999999999994"/>
    <x v="1"/>
    <x v="6"/>
    <x v="3342"/>
    <d v="2015-04-01T04:59:00"/>
    <x v="919"/>
    <x v="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x v="0"/>
    <n v="23"/>
    <x v="0"/>
    <s v="theater/plays"/>
    <n v="171"/>
    <n v="52.17"/>
    <x v="1"/>
    <x v="6"/>
    <x v="3343"/>
    <d v="2016-04-13T13:18:00"/>
    <x v="920"/>
    <x v="2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x v="0"/>
    <n v="40"/>
    <x v="0"/>
    <s v="theater/plays"/>
    <n v="101"/>
    <n v="114.13"/>
    <x v="1"/>
    <x v="6"/>
    <x v="3344"/>
    <d v="2014-08-30T04:48:13"/>
    <x v="1"/>
    <x v="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x v="0"/>
    <n v="13"/>
    <x v="0"/>
    <s v="theater/plays"/>
    <n v="130"/>
    <n v="50"/>
    <x v="1"/>
    <x v="6"/>
    <x v="3345"/>
    <d v="2015-04-18T00:37:00"/>
    <x v="921"/>
    <x v="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x v="0"/>
    <n v="18"/>
    <x v="0"/>
    <s v="theater/plays"/>
    <n v="110"/>
    <n v="91.67"/>
    <x v="1"/>
    <x v="6"/>
    <x v="3346"/>
    <d v="2015-02-26T00:35:10"/>
    <x v="354"/>
    <x v="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x v="0"/>
    <n v="22"/>
    <x v="0"/>
    <s v="theater/plays"/>
    <n v="119"/>
    <n v="108.59"/>
    <x v="1"/>
    <x v="6"/>
    <x v="3347"/>
    <d v="2016-05-08T21:00:00"/>
    <x v="922"/>
    <x v="2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x v="0"/>
    <n v="79"/>
    <x v="0"/>
    <s v="theater/plays"/>
    <n v="100"/>
    <n v="69.819999999999993"/>
    <x v="1"/>
    <x v="6"/>
    <x v="3348"/>
    <d v="2016-04-30T03:59:00"/>
    <x v="923"/>
    <x v="2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x v="0"/>
    <n v="14"/>
    <x v="0"/>
    <s v="theater/plays"/>
    <n v="153"/>
    <n v="109.57"/>
    <x v="1"/>
    <x v="6"/>
    <x v="3349"/>
    <d v="2016-06-13T17:00:00"/>
    <x v="924"/>
    <x v="2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x v="0"/>
    <n v="51"/>
    <x v="0"/>
    <s v="theater/plays"/>
    <n v="104"/>
    <n v="71.67"/>
    <x v="1"/>
    <x v="6"/>
    <x v="3350"/>
    <d v="2015-11-29T23:00:00"/>
    <x v="925"/>
    <x v="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x v="0"/>
    <n v="54"/>
    <x v="0"/>
    <s v="theater/plays"/>
    <n v="101"/>
    <n v="93.61"/>
    <x v="1"/>
    <x v="6"/>
    <x v="3351"/>
    <d v="2014-07-23T11:00:00"/>
    <x v="926"/>
    <x v="3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x v="0"/>
    <n v="70"/>
    <x v="0"/>
    <s v="theater/plays"/>
    <n v="108"/>
    <n v="76.8"/>
    <x v="1"/>
    <x v="6"/>
    <x v="3352"/>
    <d v="2016-07-01T23:00:00"/>
    <x v="927"/>
    <x v="2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x v="0"/>
    <n v="44"/>
    <x v="0"/>
    <s v="theater/plays"/>
    <n v="315"/>
    <n v="35.799999999999997"/>
    <x v="1"/>
    <x v="6"/>
    <x v="3353"/>
    <d v="2016-05-02T23:00:00"/>
    <x v="928"/>
    <x v="2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x v="0"/>
    <n v="55"/>
    <x v="0"/>
    <s v="theater/plays"/>
    <n v="102"/>
    <n v="55.6"/>
    <x v="1"/>
    <x v="6"/>
    <x v="3354"/>
    <d v="2015-10-29T04:01:00"/>
    <x v="134"/>
    <x v="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x v="0"/>
    <n v="15"/>
    <x v="0"/>
    <s v="theater/plays"/>
    <n v="126"/>
    <n v="147.33000000000001"/>
    <x v="1"/>
    <x v="6"/>
    <x v="3355"/>
    <d v="2016-05-10T11:17:00"/>
    <x v="929"/>
    <x v="2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x v="0"/>
    <n v="27"/>
    <x v="0"/>
    <s v="theater/plays"/>
    <n v="101"/>
    <n v="56.33"/>
    <x v="1"/>
    <x v="6"/>
    <x v="3356"/>
    <d v="2016-07-15T19:34:32"/>
    <x v="1"/>
    <x v="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x v="0"/>
    <n v="21"/>
    <x v="0"/>
    <s v="theater/plays"/>
    <n v="101"/>
    <n v="96.19"/>
    <x v="1"/>
    <x v="6"/>
    <x v="3357"/>
    <d v="2014-08-01T10:01:50"/>
    <x v="1"/>
    <x v="3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x v="0"/>
    <n v="162"/>
    <x v="0"/>
    <s v="theater/plays"/>
    <n v="103"/>
    <n v="63.57"/>
    <x v="1"/>
    <x v="6"/>
    <x v="3358"/>
    <d v="2014-11-19T08:27:59"/>
    <x v="13"/>
    <x v="3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x v="0"/>
    <n v="23"/>
    <x v="0"/>
    <s v="theater/plays"/>
    <n v="106"/>
    <n v="184.78"/>
    <x v="1"/>
    <x v="6"/>
    <x v="3359"/>
    <d v="2017-02-25T01:22:14"/>
    <x v="26"/>
    <x v="1"/>
  </r>
  <r>
    <x v="3360"/>
    <s v="Pretty Butch"/>
    <s v="World Premiere, an M1 Singapore Fringe Festival 2017 commission."/>
    <x v="7"/>
    <x v="2225"/>
    <x v="0"/>
    <x v="20"/>
    <s v="SGD"/>
    <n v="1481731140"/>
    <x v="3360"/>
    <x v="0"/>
    <n v="72"/>
    <x v="0"/>
    <s v="theater/plays"/>
    <n v="101"/>
    <n v="126.72"/>
    <x v="1"/>
    <x v="6"/>
    <x v="3360"/>
    <d v="2016-12-14T15:59:00"/>
    <x v="930"/>
    <x v="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x v="0"/>
    <n v="68"/>
    <x v="0"/>
    <s v="theater/plays"/>
    <n v="113"/>
    <n v="83.43"/>
    <x v="1"/>
    <x v="6"/>
    <x v="3361"/>
    <d v="2014-09-01T15:59:00"/>
    <x v="931"/>
    <x v="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x v="0"/>
    <n v="20"/>
    <x v="0"/>
    <s v="theater/plays"/>
    <n v="218"/>
    <n v="54.5"/>
    <x v="1"/>
    <x v="6"/>
    <x v="3362"/>
    <d v="2015-03-07T04:55:00"/>
    <x v="932"/>
    <x v="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x v="0"/>
    <n v="26"/>
    <x v="0"/>
    <s v="theater/plays"/>
    <n v="101"/>
    <n v="302.31"/>
    <x v="1"/>
    <x v="6"/>
    <x v="3363"/>
    <d v="2014-08-19T16:00:00"/>
    <x v="933"/>
    <x v="3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x v="0"/>
    <n v="72"/>
    <x v="0"/>
    <s v="theater/plays"/>
    <n v="106"/>
    <n v="44.14"/>
    <x v="1"/>
    <x v="6"/>
    <x v="3364"/>
    <d v="2016-03-15T21:00:00"/>
    <x v="934"/>
    <x v="2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x v="0"/>
    <n v="3"/>
    <x v="0"/>
    <s v="theater/plays"/>
    <n v="104"/>
    <n v="866.67"/>
    <x v="1"/>
    <x v="6"/>
    <x v="3365"/>
    <d v="2015-12-13T02:26:32"/>
    <x v="1"/>
    <x v="0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x v="0"/>
    <n v="18"/>
    <x v="0"/>
    <s v="theater/plays"/>
    <n v="221"/>
    <n v="61.39"/>
    <x v="1"/>
    <x v="6"/>
    <x v="3366"/>
    <d v="2015-05-13T01:37:17"/>
    <x v="1"/>
    <x v="0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x v="0"/>
    <n v="30"/>
    <x v="0"/>
    <s v="theater/plays"/>
    <n v="119"/>
    <n v="29.67"/>
    <x v="1"/>
    <x v="6"/>
    <x v="3367"/>
    <d v="2015-08-01T22:24:54"/>
    <x v="36"/>
    <x v="0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x v="0"/>
    <n v="23"/>
    <x v="0"/>
    <s v="theater/plays"/>
    <n v="105"/>
    <n v="45.48"/>
    <x v="1"/>
    <x v="6"/>
    <x v="3368"/>
    <d v="2015-01-01T05:00:00"/>
    <x v="935"/>
    <x v="3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x v="0"/>
    <n v="54"/>
    <x v="0"/>
    <s v="theater/plays"/>
    <n v="104"/>
    <n v="96.2"/>
    <x v="1"/>
    <x v="6"/>
    <x v="3369"/>
    <d v="2017-01-15T00:59:40"/>
    <x v="14"/>
    <x v="2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x v="0"/>
    <n v="26"/>
    <x v="0"/>
    <s v="theater/plays"/>
    <n v="118"/>
    <n v="67.92"/>
    <x v="1"/>
    <x v="6"/>
    <x v="3370"/>
    <d v="2016-12-17T08:00:00"/>
    <x v="102"/>
    <x v="2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x v="0"/>
    <n v="9"/>
    <x v="0"/>
    <s v="theater/plays"/>
    <n v="139"/>
    <n v="30.78"/>
    <x v="1"/>
    <x v="6"/>
    <x v="3371"/>
    <d v="2015-12-02T20:59:25"/>
    <x v="240"/>
    <x v="0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x v="0"/>
    <n v="27"/>
    <x v="0"/>
    <s v="theater/plays"/>
    <n v="104"/>
    <n v="38.33"/>
    <x v="1"/>
    <x v="6"/>
    <x v="3372"/>
    <d v="2014-08-25T04:59:00"/>
    <x v="936"/>
    <x v="3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x v="0"/>
    <n v="30"/>
    <x v="0"/>
    <s v="theater/plays"/>
    <n v="100"/>
    <n v="66.83"/>
    <x v="1"/>
    <x v="6"/>
    <x v="3373"/>
    <d v="2015-07-18T16:00:00"/>
    <x v="937"/>
    <x v="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x v="0"/>
    <n v="52"/>
    <x v="0"/>
    <s v="theater/plays"/>
    <n v="107"/>
    <n v="71.73"/>
    <x v="1"/>
    <x v="6"/>
    <x v="3374"/>
    <d v="2015-10-28T17:33:36"/>
    <x v="1"/>
    <x v="0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x v="0"/>
    <n v="17"/>
    <x v="0"/>
    <s v="theater/plays"/>
    <n v="100"/>
    <n v="176.47"/>
    <x v="1"/>
    <x v="6"/>
    <x v="3375"/>
    <d v="2014-05-18T14:39:33"/>
    <x v="542"/>
    <x v="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x v="0"/>
    <n v="19"/>
    <x v="0"/>
    <s v="theater/plays"/>
    <n v="100"/>
    <n v="421.11"/>
    <x v="1"/>
    <x v="6"/>
    <x v="3376"/>
    <d v="2015-04-25T15:49:54"/>
    <x v="80"/>
    <x v="0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x v="0"/>
    <n v="77"/>
    <x v="0"/>
    <s v="theater/plays"/>
    <n v="101"/>
    <n v="104.99"/>
    <x v="1"/>
    <x v="6"/>
    <x v="3377"/>
    <d v="2015-03-20T16:56:00"/>
    <x v="428"/>
    <x v="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x v="0"/>
    <n v="21"/>
    <x v="0"/>
    <s v="theater/plays"/>
    <n v="108"/>
    <n v="28.19"/>
    <x v="1"/>
    <x v="6"/>
    <x v="3378"/>
    <d v="2014-08-31T13:08:00"/>
    <x v="938"/>
    <x v="3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x v="0"/>
    <n v="38"/>
    <x v="0"/>
    <s v="theater/plays"/>
    <n v="104"/>
    <n v="54.55"/>
    <x v="1"/>
    <x v="6"/>
    <x v="3379"/>
    <d v="2015-08-26T23:00:00"/>
    <x v="939"/>
    <x v="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x v="0"/>
    <n v="28"/>
    <x v="0"/>
    <s v="theater/plays"/>
    <n v="104"/>
    <n v="111.89"/>
    <x v="1"/>
    <x v="6"/>
    <x v="3380"/>
    <d v="2014-11-29T23:52:58"/>
    <x v="145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x v="0"/>
    <n v="48"/>
    <x v="0"/>
    <s v="theater/plays"/>
    <n v="102"/>
    <n v="85.21"/>
    <x v="1"/>
    <x v="6"/>
    <x v="3381"/>
    <d v="2015-03-11T03:26:23"/>
    <x v="22"/>
    <x v="0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x v="0"/>
    <n v="46"/>
    <x v="0"/>
    <s v="theater/plays"/>
    <n v="101"/>
    <n v="76.650000000000006"/>
    <x v="1"/>
    <x v="6"/>
    <x v="3382"/>
    <d v="2016-08-01T22:59:00"/>
    <x v="940"/>
    <x v="2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x v="0"/>
    <n v="30"/>
    <x v="0"/>
    <s v="theater/plays"/>
    <n v="112"/>
    <n v="65.17"/>
    <x v="1"/>
    <x v="6"/>
    <x v="3383"/>
    <d v="2016-06-23T18:47:00"/>
    <x v="51"/>
    <x v="2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x v="0"/>
    <n v="64"/>
    <x v="0"/>
    <s v="theater/plays"/>
    <n v="100"/>
    <n v="93.76"/>
    <x v="1"/>
    <x v="6"/>
    <x v="3384"/>
    <d v="2015-11-21T03:00:00"/>
    <x v="941"/>
    <x v="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x v="0"/>
    <n v="15"/>
    <x v="0"/>
    <s v="theater/plays"/>
    <n v="100"/>
    <n v="133.33000000000001"/>
    <x v="1"/>
    <x v="6"/>
    <x v="3385"/>
    <d v="2014-12-10T20:49:12"/>
    <x v="1"/>
    <x v="3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x v="0"/>
    <n v="41"/>
    <x v="0"/>
    <s v="theater/plays"/>
    <n v="105"/>
    <n v="51.22"/>
    <x v="1"/>
    <x v="6"/>
    <x v="3386"/>
    <d v="2014-12-03T15:28:26"/>
    <x v="1"/>
    <x v="3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x v="0"/>
    <n v="35"/>
    <x v="0"/>
    <s v="theater/plays"/>
    <n v="117"/>
    <n v="100.17"/>
    <x v="1"/>
    <x v="6"/>
    <x v="3387"/>
    <d v="2014-12-14T18:18:08"/>
    <x v="4"/>
    <x v="3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x v="0"/>
    <n v="45"/>
    <x v="0"/>
    <s v="theater/plays"/>
    <n v="104"/>
    <n v="34.6"/>
    <x v="1"/>
    <x v="6"/>
    <x v="3388"/>
    <d v="2015-06-18T11:04:01"/>
    <x v="1"/>
    <x v="0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x v="0"/>
    <n v="62"/>
    <x v="0"/>
    <s v="theater/plays"/>
    <n v="115"/>
    <n v="184.68"/>
    <x v="1"/>
    <x v="6"/>
    <x v="3389"/>
    <d v="2016-06-03T13:31:22"/>
    <x v="1"/>
    <x v="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x v="0"/>
    <n v="22"/>
    <x v="0"/>
    <s v="theater/plays"/>
    <n v="102"/>
    <n v="69.819999999999993"/>
    <x v="1"/>
    <x v="6"/>
    <x v="3390"/>
    <d v="2014-07-10T18:35:45"/>
    <x v="20"/>
    <x v="3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x v="0"/>
    <n v="18"/>
    <x v="0"/>
    <s v="theater/plays"/>
    <n v="223"/>
    <n v="61.94"/>
    <x v="1"/>
    <x v="6"/>
    <x v="3391"/>
    <d v="2014-08-08T22:28:00"/>
    <x v="942"/>
    <x v="3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x v="0"/>
    <n v="12"/>
    <x v="0"/>
    <s v="theater/plays"/>
    <n v="100"/>
    <n v="41.67"/>
    <x v="1"/>
    <x v="6"/>
    <x v="3392"/>
    <d v="2016-05-06T20:17:35"/>
    <x v="76"/>
    <x v="2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x v="0"/>
    <n v="44"/>
    <x v="0"/>
    <s v="theater/plays"/>
    <n v="106"/>
    <n v="36.07"/>
    <x v="1"/>
    <x v="6"/>
    <x v="3393"/>
    <d v="2014-11-06T00:46:00"/>
    <x v="943"/>
    <x v="3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x v="0"/>
    <n v="27"/>
    <x v="0"/>
    <s v="theater/plays"/>
    <n v="142"/>
    <n v="29"/>
    <x v="1"/>
    <x v="6"/>
    <x v="3394"/>
    <d v="2014-07-27T14:17:25"/>
    <x v="1"/>
    <x v="3"/>
  </r>
  <r>
    <x v="3395"/>
    <s v="MIRAMAR"/>
    <s v="Miramar is a a darkly funny play exploring what it is we call â€˜homeâ€™."/>
    <x v="2"/>
    <x v="1622"/>
    <x v="0"/>
    <x v="1"/>
    <s v="GBP"/>
    <n v="1433009400"/>
    <x v="3395"/>
    <x v="0"/>
    <n v="38"/>
    <x v="0"/>
    <s v="theater/plays"/>
    <n v="184"/>
    <n v="24.21"/>
    <x v="1"/>
    <x v="6"/>
    <x v="3395"/>
    <d v="2015-05-30T18:10:00"/>
    <x v="944"/>
    <x v="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x v="0"/>
    <n v="28"/>
    <x v="0"/>
    <s v="theater/plays"/>
    <n v="104"/>
    <n v="55.89"/>
    <x v="1"/>
    <x v="6"/>
    <x v="3396"/>
    <d v="2014-06-01T03:59:00"/>
    <x v="945"/>
    <x v="3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x v="0"/>
    <n v="24"/>
    <x v="0"/>
    <s v="theater/plays"/>
    <n v="112"/>
    <n v="11.67"/>
    <x v="1"/>
    <x v="6"/>
    <x v="3397"/>
    <d v="2016-02-18T22:00:00"/>
    <x v="946"/>
    <x v="2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x v="0"/>
    <n v="65"/>
    <x v="0"/>
    <s v="theater/plays"/>
    <n v="111"/>
    <n v="68.349999999999994"/>
    <x v="1"/>
    <x v="6"/>
    <x v="3398"/>
    <d v="2014-11-21T17:00:00"/>
    <x v="947"/>
    <x v="3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x v="0"/>
    <n v="46"/>
    <x v="0"/>
    <s v="theater/plays"/>
    <n v="104"/>
    <n v="27.07"/>
    <x v="1"/>
    <x v="6"/>
    <x v="3399"/>
    <d v="2015-02-21T22:05:25"/>
    <x v="1"/>
    <x v="0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x v="0"/>
    <n v="85"/>
    <x v="0"/>
    <s v="theater/plays"/>
    <n v="100"/>
    <n v="118.13"/>
    <x v="1"/>
    <x v="6"/>
    <x v="3400"/>
    <d v="2014-08-28T22:53:34"/>
    <x v="26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x v="0"/>
    <n v="66"/>
    <x v="0"/>
    <s v="theater/plays"/>
    <n v="102"/>
    <n v="44.76"/>
    <x v="1"/>
    <x v="6"/>
    <x v="3401"/>
    <d v="2015-08-07T17:22:26"/>
    <x v="1"/>
    <x v="0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x v="0"/>
    <n v="165"/>
    <x v="0"/>
    <s v="theater/plays"/>
    <n v="110"/>
    <n v="99.79"/>
    <x v="1"/>
    <x v="6"/>
    <x v="3402"/>
    <d v="2015-11-12T02:31:00"/>
    <x v="618"/>
    <x v="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x v="0"/>
    <n v="17"/>
    <x v="0"/>
    <s v="theater/plays"/>
    <n v="100"/>
    <n v="117.65"/>
    <x v="1"/>
    <x v="6"/>
    <x v="3403"/>
    <d v="2015-06-25T11:05:24"/>
    <x v="1"/>
    <x v="0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x v="0"/>
    <n v="3"/>
    <x v="0"/>
    <s v="theater/plays"/>
    <n v="122"/>
    <n v="203.33"/>
    <x v="1"/>
    <x v="6"/>
    <x v="3404"/>
    <d v="2015-06-17T12:05:02"/>
    <x v="51"/>
    <x v="0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x v="0"/>
    <n v="17"/>
    <x v="0"/>
    <s v="theater/plays"/>
    <n v="138"/>
    <n v="28.32"/>
    <x v="1"/>
    <x v="6"/>
    <x v="3405"/>
    <d v="2016-03-01T23:59:00"/>
    <x v="948"/>
    <x v="2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x v="0"/>
    <n v="91"/>
    <x v="0"/>
    <s v="theater/plays"/>
    <n v="100"/>
    <n v="110.23"/>
    <x v="1"/>
    <x v="6"/>
    <x v="3406"/>
    <d v="2014-07-16T11:49:36"/>
    <x v="26"/>
    <x v="3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x v="0"/>
    <n v="67"/>
    <x v="0"/>
    <s v="theater/plays"/>
    <n v="107"/>
    <n v="31.97"/>
    <x v="1"/>
    <x v="6"/>
    <x v="3407"/>
    <d v="2014-07-06T10:08:09"/>
    <x v="1"/>
    <x v="3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x v="0"/>
    <n v="18"/>
    <x v="0"/>
    <s v="theater/plays"/>
    <n v="211"/>
    <n v="58.61"/>
    <x v="1"/>
    <x v="6"/>
    <x v="3408"/>
    <d v="2014-07-18T23:48:24"/>
    <x v="1"/>
    <x v="3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x v="0"/>
    <n v="21"/>
    <x v="0"/>
    <s v="theater/plays"/>
    <n v="124"/>
    <n v="29.43"/>
    <x v="1"/>
    <x v="6"/>
    <x v="3409"/>
    <d v="2016-07-31T20:58:00"/>
    <x v="493"/>
    <x v="2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x v="0"/>
    <n v="40"/>
    <x v="0"/>
    <s v="theater/plays"/>
    <n v="109"/>
    <n v="81.38"/>
    <x v="1"/>
    <x v="6"/>
    <x v="3410"/>
    <d v="2016-06-06T07:00:00"/>
    <x v="949"/>
    <x v="2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x v="0"/>
    <n v="78"/>
    <x v="0"/>
    <s v="theater/plays"/>
    <n v="104"/>
    <n v="199.17"/>
    <x v="1"/>
    <x v="6"/>
    <x v="3411"/>
    <d v="2015-10-08T00:32:52"/>
    <x v="51"/>
    <x v="0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x v="0"/>
    <n v="26"/>
    <x v="0"/>
    <s v="theater/plays"/>
    <n v="100"/>
    <n v="115.38"/>
    <x v="1"/>
    <x v="6"/>
    <x v="3412"/>
    <d v="2014-09-27T23:01:02"/>
    <x v="1"/>
    <x v="3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x v="0"/>
    <n v="14"/>
    <x v="0"/>
    <s v="theater/plays"/>
    <n v="130"/>
    <n v="46.43"/>
    <x v="1"/>
    <x v="6"/>
    <x v="3413"/>
    <d v="2015-02-28T04:59:00"/>
    <x v="950"/>
    <x v="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x v="0"/>
    <n v="44"/>
    <x v="0"/>
    <s v="theater/plays"/>
    <n v="104"/>
    <n v="70.569999999999993"/>
    <x v="1"/>
    <x v="6"/>
    <x v="3414"/>
    <d v="2016-12-01T07:59:00"/>
    <x v="772"/>
    <x v="2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x v="0"/>
    <n v="9"/>
    <x v="0"/>
    <s v="theater/plays"/>
    <n v="100"/>
    <n v="22.22"/>
    <x v="1"/>
    <x v="6"/>
    <x v="3415"/>
    <d v="2016-04-17T23:30:00"/>
    <x v="951"/>
    <x v="2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x v="0"/>
    <n v="30"/>
    <x v="0"/>
    <s v="theater/plays"/>
    <n v="120"/>
    <n v="159.47"/>
    <x v="1"/>
    <x v="6"/>
    <x v="3416"/>
    <d v="2015-04-23T18:30:00"/>
    <x v="765"/>
    <x v="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x v="0"/>
    <n v="45"/>
    <x v="0"/>
    <s v="theater/plays"/>
    <n v="100"/>
    <n v="37.78"/>
    <x v="1"/>
    <x v="6"/>
    <x v="3417"/>
    <d v="2014-10-26T00:43:00"/>
    <x v="952"/>
    <x v="3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x v="0"/>
    <n v="56"/>
    <x v="0"/>
    <s v="theater/plays"/>
    <n v="101"/>
    <n v="72.05"/>
    <x v="1"/>
    <x v="6"/>
    <x v="3418"/>
    <d v="2014-05-23T20:01:47"/>
    <x v="1"/>
    <x v="3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x v="0"/>
    <n v="46"/>
    <x v="0"/>
    <s v="theater/plays"/>
    <n v="107"/>
    <n v="63.7"/>
    <x v="1"/>
    <x v="6"/>
    <x v="3419"/>
    <d v="2016-04-06T21:30:00"/>
    <x v="953"/>
    <x v="2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x v="0"/>
    <n v="34"/>
    <x v="0"/>
    <s v="theater/plays"/>
    <n v="138"/>
    <n v="28.41"/>
    <x v="1"/>
    <x v="6"/>
    <x v="3420"/>
    <d v="2016-02-14T00:00:00"/>
    <x v="954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x v="0"/>
    <n v="98"/>
    <x v="0"/>
    <s v="theater/plays"/>
    <n v="101"/>
    <n v="103.21"/>
    <x v="1"/>
    <x v="6"/>
    <x v="3421"/>
    <d v="2015-03-04T18:59:23"/>
    <x v="1"/>
    <x v="0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x v="0"/>
    <n v="46"/>
    <x v="0"/>
    <s v="theater/plays"/>
    <n v="109"/>
    <n v="71.150000000000006"/>
    <x v="1"/>
    <x v="6"/>
    <x v="3422"/>
    <d v="2015-12-14T00:00:00"/>
    <x v="825"/>
    <x v="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x v="0"/>
    <n v="10"/>
    <x v="0"/>
    <s v="theater/plays"/>
    <n v="140"/>
    <n v="35"/>
    <x v="1"/>
    <x v="6"/>
    <x v="3423"/>
    <d v="2015-04-24T21:52:21"/>
    <x v="1"/>
    <x v="0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x v="0"/>
    <n v="76"/>
    <x v="0"/>
    <s v="theater/plays"/>
    <n v="104"/>
    <n v="81.78"/>
    <x v="1"/>
    <x v="6"/>
    <x v="3424"/>
    <d v="2015-02-05T06:59:00"/>
    <x v="955"/>
    <x v="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x v="0"/>
    <n v="104"/>
    <x v="0"/>
    <s v="theater/plays"/>
    <n v="103"/>
    <n v="297.02999999999997"/>
    <x v="1"/>
    <x v="6"/>
    <x v="3425"/>
    <d v="2014-10-04T14:48:56"/>
    <x v="114"/>
    <x v="3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x v="0"/>
    <n v="87"/>
    <x v="0"/>
    <s v="theater/plays"/>
    <n v="108"/>
    <n v="46.61"/>
    <x v="1"/>
    <x v="6"/>
    <x v="3426"/>
    <d v="2014-09-21T02:00:00"/>
    <x v="956"/>
    <x v="3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x v="0"/>
    <n v="29"/>
    <x v="0"/>
    <s v="theater/plays"/>
    <n v="100"/>
    <n v="51.72"/>
    <x v="1"/>
    <x v="6"/>
    <x v="3427"/>
    <d v="2014-07-02T15:29:12"/>
    <x v="1"/>
    <x v="3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x v="0"/>
    <n v="51"/>
    <x v="0"/>
    <s v="theater/plays"/>
    <n v="103"/>
    <n v="40.29"/>
    <x v="1"/>
    <x v="6"/>
    <x v="3428"/>
    <d v="2015-02-28T17:00:00"/>
    <x v="957"/>
    <x v="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x v="0"/>
    <n v="12"/>
    <x v="0"/>
    <s v="theater/plays"/>
    <n v="130"/>
    <n v="16.25"/>
    <x v="1"/>
    <x v="6"/>
    <x v="3429"/>
    <d v="2016-11-02T00:31:01"/>
    <x v="59"/>
    <x v="2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x v="0"/>
    <n v="72"/>
    <x v="0"/>
    <s v="theater/plays"/>
    <n v="109"/>
    <n v="30.15"/>
    <x v="1"/>
    <x v="6"/>
    <x v="3430"/>
    <d v="2014-07-30T22:41:41"/>
    <x v="1"/>
    <x v="3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x v="0"/>
    <n v="21"/>
    <x v="0"/>
    <s v="theater/plays"/>
    <n v="100"/>
    <n v="95.24"/>
    <x v="1"/>
    <x v="6"/>
    <x v="3431"/>
    <d v="2014-08-18T17:32:33"/>
    <x v="1"/>
    <x v="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x v="0"/>
    <n v="42"/>
    <x v="0"/>
    <s v="theater/plays"/>
    <n v="110"/>
    <n v="52.21"/>
    <x v="1"/>
    <x v="6"/>
    <x v="3432"/>
    <d v="2016-02-05T22:00:00"/>
    <x v="958"/>
    <x v="2"/>
  </r>
  <r>
    <x v="3433"/>
    <s v="The Dybbuk"/>
    <s v="death&amp;pretzels presents their first Chicago based project:_x000a_The Dybbuk by S. Ansky"/>
    <x v="196"/>
    <x v="2272"/>
    <x v="0"/>
    <x v="0"/>
    <s v="USD"/>
    <n v="1402974000"/>
    <x v="3433"/>
    <x v="0"/>
    <n v="71"/>
    <x v="0"/>
    <s v="theater/plays"/>
    <n v="100"/>
    <n v="134.15"/>
    <x v="1"/>
    <x v="6"/>
    <x v="3433"/>
    <d v="2014-06-17T03:00:00"/>
    <x v="959"/>
    <x v="3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x v="0"/>
    <n v="168"/>
    <x v="0"/>
    <s v="theater/plays"/>
    <n v="106"/>
    <n v="62.83"/>
    <x v="1"/>
    <x v="6"/>
    <x v="3434"/>
    <d v="2014-07-10T09:07:49"/>
    <x v="1"/>
    <x v="3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x v="0"/>
    <n v="19"/>
    <x v="0"/>
    <s v="theater/plays"/>
    <n v="112"/>
    <n v="58.95"/>
    <x v="1"/>
    <x v="6"/>
    <x v="3435"/>
    <d v="2016-08-07T03:00:00"/>
    <x v="960"/>
    <x v="2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x v="0"/>
    <n v="37"/>
    <x v="0"/>
    <s v="theater/plays"/>
    <n v="106"/>
    <n v="143.11000000000001"/>
    <x v="1"/>
    <x v="6"/>
    <x v="3436"/>
    <d v="2014-08-21T16:28:00"/>
    <x v="961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x v="0"/>
    <n v="36"/>
    <x v="0"/>
    <s v="theater/plays"/>
    <n v="101"/>
    <n v="84.17"/>
    <x v="1"/>
    <x v="6"/>
    <x v="3437"/>
    <d v="2015-08-19T17:03:40"/>
    <x v="1"/>
    <x v="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x v="0"/>
    <n v="14"/>
    <x v="0"/>
    <s v="theater/plays"/>
    <n v="104"/>
    <n v="186.07"/>
    <x v="1"/>
    <x v="6"/>
    <x v="3438"/>
    <d v="2015-05-02T21:00:00"/>
    <x v="962"/>
    <x v="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x v="0"/>
    <n v="18"/>
    <x v="0"/>
    <s v="theater/plays"/>
    <n v="135"/>
    <n v="89.79"/>
    <x v="1"/>
    <x v="6"/>
    <x v="3439"/>
    <d v="2016-01-19T04:59:00"/>
    <x v="963"/>
    <x v="2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x v="0"/>
    <n v="82"/>
    <x v="0"/>
    <s v="theater/plays"/>
    <n v="105"/>
    <n v="64.16"/>
    <x v="1"/>
    <x v="6"/>
    <x v="3440"/>
    <d v="2014-07-11T16:15:00"/>
    <x v="964"/>
    <x v="3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x v="0"/>
    <n v="43"/>
    <x v="0"/>
    <s v="theater/plays"/>
    <n v="103"/>
    <n v="59.65"/>
    <x v="1"/>
    <x v="6"/>
    <x v="3441"/>
    <d v="2015-11-13T20:17:00"/>
    <x v="965"/>
    <x v="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x v="0"/>
    <n v="8"/>
    <x v="0"/>
    <s v="theater/plays"/>
    <n v="100"/>
    <n v="31.25"/>
    <x v="1"/>
    <x v="6"/>
    <x v="3442"/>
    <d v="2015-05-30T20:11:12"/>
    <x v="1"/>
    <x v="0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x v="0"/>
    <n v="45"/>
    <x v="0"/>
    <s v="theater/plays"/>
    <n v="186"/>
    <n v="41.22"/>
    <x v="1"/>
    <x v="6"/>
    <x v="3443"/>
    <d v="2014-09-09T12:35:46"/>
    <x v="1"/>
    <x v="3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x v="0"/>
    <n v="20"/>
    <x v="0"/>
    <s v="theater/plays"/>
    <n v="289"/>
    <n v="43.35"/>
    <x v="1"/>
    <x v="6"/>
    <x v="3444"/>
    <d v="2016-06-08T13:59:00"/>
    <x v="966"/>
    <x v="2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x v="0"/>
    <n v="31"/>
    <x v="0"/>
    <s v="theater/plays"/>
    <n v="100"/>
    <n v="64.52"/>
    <x v="1"/>
    <x v="6"/>
    <x v="3445"/>
    <d v="2015-10-23T12:43:56"/>
    <x v="240"/>
    <x v="0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x v="0"/>
    <n v="25"/>
    <x v="0"/>
    <s v="theater/plays"/>
    <n v="108"/>
    <n v="43.28"/>
    <x v="1"/>
    <x v="6"/>
    <x v="3446"/>
    <d v="2015-02-05T12:20:00"/>
    <x v="967"/>
    <x v="0"/>
  </r>
  <r>
    <x v="3447"/>
    <s v="The Vagabond Halfback"/>
    <s v="&quot;He was a poet, a vagrant, a philosopher, a lady's man and a hard drinker&quot;"/>
    <x v="28"/>
    <x v="2280"/>
    <x v="0"/>
    <x v="0"/>
    <s v="USD"/>
    <n v="1458332412"/>
    <x v="3447"/>
    <x v="0"/>
    <n v="14"/>
    <x v="0"/>
    <s v="theater/plays"/>
    <n v="108"/>
    <n v="77"/>
    <x v="1"/>
    <x v="6"/>
    <x v="3447"/>
    <d v="2016-03-18T20:20:12"/>
    <x v="129"/>
    <x v="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x v="0"/>
    <n v="45"/>
    <x v="0"/>
    <s v="theater/plays"/>
    <n v="110"/>
    <n v="51.22"/>
    <x v="1"/>
    <x v="6"/>
    <x v="3448"/>
    <d v="2014-12-17T02:51:29"/>
    <x v="1"/>
    <x v="3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x v="0"/>
    <n v="20"/>
    <x v="0"/>
    <s v="theater/plays"/>
    <n v="171"/>
    <n v="68.25"/>
    <x v="1"/>
    <x v="6"/>
    <x v="3449"/>
    <d v="2016-07-09T04:00:00"/>
    <x v="654"/>
    <x v="2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x v="0"/>
    <n v="39"/>
    <x v="0"/>
    <s v="theater/plays"/>
    <n v="152"/>
    <n v="19.489999999999998"/>
    <x v="1"/>
    <x v="6"/>
    <x v="3450"/>
    <d v="2015-04-02T15:54:31"/>
    <x v="80"/>
    <x v="0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x v="0"/>
    <n v="16"/>
    <x v="0"/>
    <s v="theater/plays"/>
    <n v="101"/>
    <n v="41.13"/>
    <x v="1"/>
    <x v="6"/>
    <x v="3451"/>
    <d v="2015-04-21T17:22:07"/>
    <x v="81"/>
    <x v="0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x v="0"/>
    <n v="37"/>
    <x v="0"/>
    <s v="theater/plays"/>
    <n v="153"/>
    <n v="41.41"/>
    <x v="1"/>
    <x v="6"/>
    <x v="3452"/>
    <d v="2014-07-23T03:59:00"/>
    <x v="968"/>
    <x v="3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x v="0"/>
    <n v="14"/>
    <x v="0"/>
    <s v="theater/plays"/>
    <n v="128"/>
    <n v="27.5"/>
    <x v="1"/>
    <x v="6"/>
    <x v="3453"/>
    <d v="2016-08-13T23:29:16"/>
    <x v="14"/>
    <x v="2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x v="0"/>
    <n v="21"/>
    <x v="0"/>
    <s v="theater/plays"/>
    <n v="101"/>
    <n v="33.57"/>
    <x v="1"/>
    <x v="6"/>
    <x v="3454"/>
    <d v="2014-07-31T16:45:59"/>
    <x v="1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x v="0"/>
    <n v="69"/>
    <x v="0"/>
    <s v="theater/plays"/>
    <n v="101"/>
    <n v="145.87"/>
    <x v="1"/>
    <x v="6"/>
    <x v="3455"/>
    <d v="2016-10-13T18:00:27"/>
    <x v="1"/>
    <x v="2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x v="0"/>
    <n v="16"/>
    <x v="0"/>
    <s v="theater/plays"/>
    <n v="191"/>
    <n v="358.69"/>
    <x v="1"/>
    <x v="6"/>
    <x v="3456"/>
    <d v="2014-08-01T06:59:00"/>
    <x v="735"/>
    <x v="3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x v="0"/>
    <n v="55"/>
    <x v="0"/>
    <s v="theater/plays"/>
    <n v="140"/>
    <n v="50.98"/>
    <x v="1"/>
    <x v="6"/>
    <x v="3457"/>
    <d v="2015-02-12T05:59:00"/>
    <x v="626"/>
    <x v="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x v="0"/>
    <n v="27"/>
    <x v="0"/>
    <s v="theater/plays"/>
    <n v="124"/>
    <n v="45.04"/>
    <x v="1"/>
    <x v="6"/>
    <x v="3458"/>
    <d v="2015-02-03T04:27:00"/>
    <x v="969"/>
    <x v="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x v="0"/>
    <n v="36"/>
    <x v="0"/>
    <s v="theater/plays"/>
    <n v="126"/>
    <n v="17.53"/>
    <x v="1"/>
    <x v="6"/>
    <x v="3459"/>
    <d v="2016-05-20T11:31:00"/>
    <x v="1"/>
    <x v="2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x v="0"/>
    <n v="19"/>
    <x v="0"/>
    <s v="theater/plays"/>
    <n v="190"/>
    <n v="50"/>
    <x v="1"/>
    <x v="6"/>
    <x v="3460"/>
    <d v="2014-08-15T12:39:12"/>
    <x v="59"/>
    <x v="3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x v="0"/>
    <n v="12"/>
    <x v="0"/>
    <s v="theater/plays"/>
    <n v="139"/>
    <n v="57.92"/>
    <x v="1"/>
    <x v="6"/>
    <x v="3461"/>
    <d v="2016-10-29T03:00:00"/>
    <x v="970"/>
    <x v="2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x v="0"/>
    <n v="17"/>
    <x v="0"/>
    <s v="theater/plays"/>
    <n v="202"/>
    <n v="29.71"/>
    <x v="1"/>
    <x v="6"/>
    <x v="3462"/>
    <d v="2015-07-10T18:00:00"/>
    <x v="971"/>
    <x v="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x v="0"/>
    <n v="114"/>
    <x v="0"/>
    <s v="theater/plays"/>
    <n v="103"/>
    <n v="90.68"/>
    <x v="1"/>
    <x v="6"/>
    <x v="3463"/>
    <d v="2016-10-11T03:59:00"/>
    <x v="517"/>
    <x v="2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x v="0"/>
    <n v="93"/>
    <x v="0"/>
    <s v="theater/plays"/>
    <n v="102"/>
    <n v="55.01"/>
    <x v="1"/>
    <x v="6"/>
    <x v="3464"/>
    <d v="2016-08-23T03:07:17"/>
    <x v="1"/>
    <x v="2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x v="0"/>
    <n v="36"/>
    <x v="0"/>
    <s v="theater/plays"/>
    <n v="103"/>
    <n v="57.22"/>
    <x v="1"/>
    <x v="6"/>
    <x v="3465"/>
    <d v="2015-08-09T16:00:00"/>
    <x v="574"/>
    <x v="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x v="0"/>
    <n v="61"/>
    <x v="0"/>
    <s v="theater/plays"/>
    <n v="127"/>
    <n v="72.95"/>
    <x v="1"/>
    <x v="6"/>
    <x v="3466"/>
    <d v="2016-04-19T23:27:30"/>
    <x v="80"/>
    <x v="2"/>
  </r>
  <r>
    <x v="3467"/>
    <s v="Venus in Fur, Los Angeles."/>
    <s v="Venus in Fur, By David Ives."/>
    <x v="9"/>
    <x v="168"/>
    <x v="0"/>
    <x v="0"/>
    <s v="USD"/>
    <n v="1426864032"/>
    <x v="3467"/>
    <x v="0"/>
    <n v="47"/>
    <x v="0"/>
    <s v="theater/plays"/>
    <n v="101"/>
    <n v="64.47"/>
    <x v="1"/>
    <x v="6"/>
    <x v="3467"/>
    <d v="2015-03-20T15:07:12"/>
    <x v="22"/>
    <x v="0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x v="0"/>
    <n v="17"/>
    <x v="0"/>
    <s v="theater/plays"/>
    <n v="122"/>
    <n v="716.35"/>
    <x v="1"/>
    <x v="6"/>
    <x v="3468"/>
    <d v="2016-09-21T03:00:00"/>
    <x v="765"/>
    <x v="2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x v="0"/>
    <n v="63"/>
    <x v="0"/>
    <s v="theater/plays"/>
    <n v="113"/>
    <n v="50.4"/>
    <x v="1"/>
    <x v="6"/>
    <x v="3469"/>
    <d v="2016-04-28T15:24:05"/>
    <x v="1"/>
    <x v="2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x v="3470"/>
    <x v="0"/>
    <n v="9"/>
    <x v="0"/>
    <s v="theater/plays"/>
    <n v="150"/>
    <n v="41.67"/>
    <x v="1"/>
    <x v="6"/>
    <x v="3470"/>
    <d v="2016-07-15T21:38:00"/>
    <x v="972"/>
    <x v="2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x v="0"/>
    <n v="30"/>
    <x v="0"/>
    <s v="theater/plays"/>
    <n v="215"/>
    <n v="35.770000000000003"/>
    <x v="1"/>
    <x v="6"/>
    <x v="3471"/>
    <d v="2014-08-31T20:00:00"/>
    <x v="973"/>
    <x v="3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x v="0"/>
    <n v="23"/>
    <x v="0"/>
    <s v="theater/plays"/>
    <n v="102"/>
    <n v="88.74"/>
    <x v="1"/>
    <x v="6"/>
    <x v="3472"/>
    <d v="2014-11-06T05:59:00"/>
    <x v="707"/>
    <x v="3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x v="0"/>
    <n v="33"/>
    <x v="0"/>
    <s v="theater/plays"/>
    <n v="100"/>
    <n v="148.47999999999999"/>
    <x v="1"/>
    <x v="6"/>
    <x v="3473"/>
    <d v="2015-03-20T20:27:00"/>
    <x v="974"/>
    <x v="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x v="0"/>
    <n v="39"/>
    <x v="0"/>
    <s v="theater/plays"/>
    <n v="101"/>
    <n v="51.79"/>
    <x v="1"/>
    <x v="6"/>
    <x v="3474"/>
    <d v="2016-07-20T12:02:11"/>
    <x v="1"/>
    <x v="2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x v="0"/>
    <n v="17"/>
    <x v="0"/>
    <s v="theater/plays"/>
    <n v="113"/>
    <n v="20"/>
    <x v="1"/>
    <x v="6"/>
    <x v="3475"/>
    <d v="2014-11-03T00:00:00"/>
    <x v="975"/>
    <x v="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x v="0"/>
    <n v="6"/>
    <x v="0"/>
    <s v="theater/plays"/>
    <n v="104"/>
    <n v="52"/>
    <x v="1"/>
    <x v="6"/>
    <x v="3476"/>
    <d v="2014-10-27T03:00:00"/>
    <x v="976"/>
    <x v="3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x v="0"/>
    <n v="39"/>
    <x v="0"/>
    <s v="theater/plays"/>
    <n v="115"/>
    <n v="53.23"/>
    <x v="1"/>
    <x v="6"/>
    <x v="3477"/>
    <d v="2015-05-17T03:00:00"/>
    <x v="977"/>
    <x v="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x v="0"/>
    <n v="57"/>
    <x v="0"/>
    <s v="theater/plays"/>
    <n v="113"/>
    <n v="39.6"/>
    <x v="1"/>
    <x v="6"/>
    <x v="3478"/>
    <d v="2015-03-16T21:00:00"/>
    <x v="978"/>
    <x v="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x v="0"/>
    <n v="56"/>
    <x v="0"/>
    <s v="theater/plays"/>
    <n v="128"/>
    <n v="34.25"/>
    <x v="1"/>
    <x v="6"/>
    <x v="3479"/>
    <d v="2014-06-21T20:31:20"/>
    <x v="1"/>
    <x v="3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x v="0"/>
    <n v="13"/>
    <x v="0"/>
    <s v="theater/plays"/>
    <n v="143"/>
    <n v="164.62"/>
    <x v="1"/>
    <x v="6"/>
    <x v="3480"/>
    <d v="2015-07-10T21:00:00"/>
    <x v="731"/>
    <x v="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x v="0"/>
    <n v="95"/>
    <x v="0"/>
    <s v="theater/plays"/>
    <n v="119"/>
    <n v="125.05"/>
    <x v="1"/>
    <x v="6"/>
    <x v="3481"/>
    <d v="2015-01-02T05:56:28"/>
    <x v="549"/>
    <x v="3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x v="0"/>
    <n v="80"/>
    <x v="0"/>
    <s v="theater/plays"/>
    <n v="138"/>
    <n v="51.88"/>
    <x v="1"/>
    <x v="6"/>
    <x v="3482"/>
    <d v="2014-07-06T18:31:06"/>
    <x v="1"/>
    <x v="3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x v="0"/>
    <n v="133"/>
    <x v="0"/>
    <s v="theater/plays"/>
    <n v="160"/>
    <n v="40.29"/>
    <x v="1"/>
    <x v="6"/>
    <x v="3483"/>
    <d v="2014-07-03T16:03:01"/>
    <x v="1"/>
    <x v="3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x v="0"/>
    <n v="44"/>
    <x v="0"/>
    <s v="theater/plays"/>
    <n v="114"/>
    <n v="64.91"/>
    <x v="1"/>
    <x v="6"/>
    <x v="3484"/>
    <d v="2016-06-15T18:14:59"/>
    <x v="1"/>
    <x v="2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x v="0"/>
    <n v="30"/>
    <x v="0"/>
    <s v="theater/plays"/>
    <n v="101"/>
    <n v="55.33"/>
    <x v="1"/>
    <x v="6"/>
    <x v="3485"/>
    <d v="2016-02-02T16:38:00"/>
    <x v="1"/>
    <x v="2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x v="0"/>
    <n v="56"/>
    <x v="0"/>
    <s v="theater/plays"/>
    <n v="155"/>
    <n v="83.14"/>
    <x v="1"/>
    <x v="6"/>
    <x v="3486"/>
    <d v="2015-06-03T06:59:00"/>
    <x v="979"/>
    <x v="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x v="0"/>
    <n v="66"/>
    <x v="0"/>
    <s v="theater/plays"/>
    <n v="128"/>
    <n v="38.71"/>
    <x v="1"/>
    <x v="6"/>
    <x v="3487"/>
    <d v="2015-06-24T22:34:12"/>
    <x v="1"/>
    <x v="0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x v="0"/>
    <n v="29"/>
    <x v="0"/>
    <s v="theater/plays"/>
    <n v="121"/>
    <n v="125.38"/>
    <x v="1"/>
    <x v="6"/>
    <x v="3488"/>
    <d v="2015-04-17T16:00:00"/>
    <x v="895"/>
    <x v="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x v="0"/>
    <n v="72"/>
    <x v="0"/>
    <s v="theater/plays"/>
    <n v="113"/>
    <n v="78.260000000000005"/>
    <x v="1"/>
    <x v="6"/>
    <x v="3489"/>
    <d v="2014-05-24T21:00:00"/>
    <x v="980"/>
    <x v="3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x v="0"/>
    <n v="27"/>
    <x v="0"/>
    <s v="theater/plays"/>
    <n v="128"/>
    <n v="47.22"/>
    <x v="1"/>
    <x v="6"/>
    <x v="3490"/>
    <d v="2016-04-13T19:15:24"/>
    <x v="1"/>
    <x v="2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x v="0"/>
    <n v="10"/>
    <x v="0"/>
    <s v="theater/plays"/>
    <n v="158"/>
    <n v="79.099999999999994"/>
    <x v="1"/>
    <x v="6"/>
    <x v="3491"/>
    <d v="2015-05-18T05:59:44"/>
    <x v="31"/>
    <x v="0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x v="0"/>
    <n v="35"/>
    <x v="0"/>
    <s v="theater/plays"/>
    <n v="105"/>
    <n v="114.29"/>
    <x v="1"/>
    <x v="6"/>
    <x v="3492"/>
    <d v="2015-10-26T00:13:17"/>
    <x v="6"/>
    <x v="0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x v="0"/>
    <n v="29"/>
    <x v="0"/>
    <s v="theater/plays"/>
    <n v="100"/>
    <n v="51.72"/>
    <x v="1"/>
    <x v="6"/>
    <x v="3493"/>
    <d v="2014-08-17T05:11:00"/>
    <x v="218"/>
    <x v="3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x v="0"/>
    <n v="13"/>
    <x v="0"/>
    <s v="theater/plays"/>
    <n v="100"/>
    <n v="30.77"/>
    <x v="1"/>
    <x v="6"/>
    <x v="3494"/>
    <d v="2016-11-26T06:00:00"/>
    <x v="981"/>
    <x v="2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x v="0"/>
    <n v="72"/>
    <x v="0"/>
    <s v="theater/plays"/>
    <n v="107"/>
    <n v="74.209999999999994"/>
    <x v="1"/>
    <x v="6"/>
    <x v="3495"/>
    <d v="2014-11-01T17:18:00"/>
    <x v="562"/>
    <x v="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x v="0"/>
    <n v="78"/>
    <x v="0"/>
    <s v="theater/plays"/>
    <n v="124"/>
    <n v="47.85"/>
    <x v="1"/>
    <x v="6"/>
    <x v="3496"/>
    <d v="2016-09-11T20:19:26"/>
    <x v="4"/>
    <x v="2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x v="0"/>
    <n v="49"/>
    <x v="0"/>
    <s v="theater/plays"/>
    <n v="109"/>
    <n v="34.409999999999997"/>
    <x v="1"/>
    <x v="6"/>
    <x v="3497"/>
    <d v="2016-06-02T22:00:00"/>
    <x v="982"/>
    <x v="2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x v="0"/>
    <n v="42"/>
    <x v="0"/>
    <s v="theater/plays"/>
    <n v="102"/>
    <n v="40.24"/>
    <x v="1"/>
    <x v="6"/>
    <x v="3498"/>
    <d v="2016-05-28T21:44:00"/>
    <x v="983"/>
    <x v="2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x v="0"/>
    <n v="35"/>
    <x v="0"/>
    <s v="theater/plays"/>
    <n v="106"/>
    <n v="60.29"/>
    <x v="1"/>
    <x v="6"/>
    <x v="3499"/>
    <d v="2015-07-01T06:59:00"/>
    <x v="984"/>
    <x v="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x v="0"/>
    <n v="42"/>
    <x v="0"/>
    <s v="theater/plays"/>
    <n v="106"/>
    <n v="25.31"/>
    <x v="1"/>
    <x v="6"/>
    <x v="3500"/>
    <d v="2016-03-07T04:59:00"/>
    <x v="985"/>
    <x v="2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x v="0"/>
    <n v="42"/>
    <x v="0"/>
    <s v="theater/plays"/>
    <n v="101"/>
    <n v="35.950000000000003"/>
    <x v="1"/>
    <x v="6"/>
    <x v="3501"/>
    <d v="2015-09-11T18:19:55"/>
    <x v="36"/>
    <x v="0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x v="0"/>
    <n v="31"/>
    <x v="0"/>
    <s v="theater/plays"/>
    <n v="105"/>
    <n v="136"/>
    <x v="1"/>
    <x v="6"/>
    <x v="3502"/>
    <d v="2016-03-16T03:59:00"/>
    <x v="986"/>
    <x v="2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x v="0"/>
    <n v="38"/>
    <x v="0"/>
    <s v="theater/plays"/>
    <n v="108"/>
    <n v="70.760000000000005"/>
    <x v="1"/>
    <x v="6"/>
    <x v="3503"/>
    <d v="2016-07-24T11:28:48"/>
    <x v="1"/>
    <x v="2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x v="0"/>
    <n v="8"/>
    <x v="0"/>
    <s v="theater/plays"/>
    <n v="100"/>
    <n v="125"/>
    <x v="1"/>
    <x v="6"/>
    <x v="3504"/>
    <d v="2015-11-19T18:58:11"/>
    <x v="13"/>
    <x v="0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x v="0"/>
    <n v="39"/>
    <x v="0"/>
    <s v="theater/plays"/>
    <n v="104"/>
    <n v="66.510000000000005"/>
    <x v="1"/>
    <x v="6"/>
    <x v="3505"/>
    <d v="2014-05-13T04:00:00"/>
    <x v="987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x v="0"/>
    <n v="29"/>
    <x v="0"/>
    <s v="theater/plays"/>
    <n v="102"/>
    <n v="105"/>
    <x v="1"/>
    <x v="6"/>
    <x v="3506"/>
    <d v="2014-08-23T17:37:20"/>
    <x v="26"/>
    <x v="3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x v="0"/>
    <n v="72"/>
    <x v="0"/>
    <s v="theater/plays"/>
    <n v="104"/>
    <n v="145"/>
    <x v="1"/>
    <x v="6"/>
    <x v="3507"/>
    <d v="2016-05-31T22:08:57"/>
    <x v="1"/>
    <x v="2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x v="0"/>
    <n v="15"/>
    <x v="0"/>
    <s v="theater/plays"/>
    <n v="180"/>
    <n v="12"/>
    <x v="1"/>
    <x v="6"/>
    <x v="3508"/>
    <d v="2016-05-10T21:00:00"/>
    <x v="988"/>
    <x v="2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x v="0"/>
    <n v="33"/>
    <x v="0"/>
    <s v="theater/plays"/>
    <n v="106"/>
    <n v="96.67"/>
    <x v="1"/>
    <x v="6"/>
    <x v="3509"/>
    <d v="2014-11-21T04:55:00"/>
    <x v="989"/>
    <x v="3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x v="0"/>
    <n v="15"/>
    <x v="0"/>
    <s v="theater/plays"/>
    <n v="101"/>
    <n v="60.33"/>
    <x v="1"/>
    <x v="6"/>
    <x v="3510"/>
    <d v="2014-07-02T14:54:06"/>
    <x v="51"/>
    <x v="3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x v="0"/>
    <n v="19"/>
    <x v="0"/>
    <s v="theater/plays"/>
    <n v="101"/>
    <n v="79.89"/>
    <x v="1"/>
    <x v="6"/>
    <x v="3511"/>
    <d v="2014-11-07T18:30:00"/>
    <x v="990"/>
    <x v="3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x v="0"/>
    <n v="17"/>
    <x v="0"/>
    <s v="theater/plays"/>
    <n v="100"/>
    <n v="58.82"/>
    <x v="1"/>
    <x v="6"/>
    <x v="3512"/>
    <d v="2015-04-23T11:53:12"/>
    <x v="80"/>
    <x v="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x v="0"/>
    <n v="44"/>
    <x v="0"/>
    <s v="theater/plays"/>
    <n v="118"/>
    <n v="75.34"/>
    <x v="1"/>
    <x v="6"/>
    <x v="3513"/>
    <d v="2014-06-04T04:59:00"/>
    <x v="991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x v="0"/>
    <n v="10"/>
    <x v="0"/>
    <s v="theater/plays"/>
    <n v="110"/>
    <n v="55"/>
    <x v="1"/>
    <x v="6"/>
    <x v="3514"/>
    <d v="2015-02-02T04:59:00"/>
    <x v="992"/>
    <x v="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x v="0"/>
    <n v="46"/>
    <x v="0"/>
    <s v="theater/plays"/>
    <n v="103"/>
    <n v="66.959999999999994"/>
    <x v="1"/>
    <x v="6"/>
    <x v="3515"/>
    <d v="2015-05-31T18:32:51"/>
    <x v="1"/>
    <x v="0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x v="0"/>
    <n v="11"/>
    <x v="0"/>
    <s v="theater/plays"/>
    <n v="100"/>
    <n v="227.27"/>
    <x v="1"/>
    <x v="6"/>
    <x v="3516"/>
    <d v="2014-09-08T03:00:00"/>
    <x v="993"/>
    <x v="3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x v="0"/>
    <n v="13"/>
    <x v="0"/>
    <s v="theater/plays"/>
    <n v="100"/>
    <n v="307.69"/>
    <x v="1"/>
    <x v="6"/>
    <x v="3517"/>
    <d v="2014-07-04T11:00:00"/>
    <x v="610"/>
    <x v="3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x v="0"/>
    <n v="33"/>
    <x v="0"/>
    <s v="theater/plays"/>
    <n v="110"/>
    <n v="50.02"/>
    <x v="1"/>
    <x v="6"/>
    <x v="3518"/>
    <d v="2014-10-02T14:21:00"/>
    <x v="994"/>
    <x v="3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x v="0"/>
    <n v="28"/>
    <x v="0"/>
    <s v="theater/plays"/>
    <n v="101"/>
    <n v="72.39"/>
    <x v="1"/>
    <x v="6"/>
    <x v="3519"/>
    <d v="2015-03-04T14:22:30"/>
    <x v="1"/>
    <x v="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x v="0"/>
    <n v="21"/>
    <x v="0"/>
    <s v="theater/plays"/>
    <n v="101"/>
    <n v="95.95"/>
    <x v="1"/>
    <x v="6"/>
    <x v="3520"/>
    <d v="2015-09-06T13:47:00"/>
    <x v="995"/>
    <x v="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x v="0"/>
    <n v="13"/>
    <x v="0"/>
    <s v="theater/plays"/>
    <n v="169"/>
    <n v="45.62"/>
    <x v="1"/>
    <x v="6"/>
    <x v="3521"/>
    <d v="2014-09-29T08:40:20"/>
    <x v="1"/>
    <x v="3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x v="0"/>
    <n v="34"/>
    <x v="0"/>
    <s v="theater/plays"/>
    <n v="100"/>
    <n v="41.03"/>
    <x v="1"/>
    <x v="6"/>
    <x v="3522"/>
    <d v="2015-09-15T10:06:00"/>
    <x v="996"/>
    <x v="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x v="0"/>
    <n v="80"/>
    <x v="0"/>
    <s v="theater/plays"/>
    <n v="114"/>
    <n v="56.83"/>
    <x v="1"/>
    <x v="6"/>
    <x v="3523"/>
    <d v="2016-09-25T23:00:00"/>
    <x v="997"/>
    <x v="2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x v="0"/>
    <n v="74"/>
    <x v="0"/>
    <s v="theater/plays"/>
    <n v="102"/>
    <n v="137.24"/>
    <x v="1"/>
    <x v="6"/>
    <x v="3524"/>
    <d v="2014-09-13T04:00:00"/>
    <x v="998"/>
    <x v="3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x v="0"/>
    <n v="7"/>
    <x v="0"/>
    <s v="theater/plays"/>
    <n v="106"/>
    <n v="75.709999999999994"/>
    <x v="1"/>
    <x v="6"/>
    <x v="3525"/>
    <d v="2015-08-09T16:00:00"/>
    <x v="999"/>
    <x v="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x v="0"/>
    <n v="34"/>
    <x v="0"/>
    <s v="theater/plays"/>
    <n v="102"/>
    <n v="99"/>
    <x v="1"/>
    <x v="6"/>
    <x v="3526"/>
    <d v="2016-04-28T05:59:00"/>
    <x v="10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x v="0"/>
    <n v="86"/>
    <x v="0"/>
    <s v="theater/plays"/>
    <n v="117"/>
    <n v="81.569999999999993"/>
    <x v="1"/>
    <x v="6"/>
    <x v="3527"/>
    <d v="2015-07-11T03:59:00"/>
    <x v="98"/>
    <x v="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x v="0"/>
    <n v="37"/>
    <x v="0"/>
    <s v="theater/plays"/>
    <n v="101"/>
    <n v="45.11"/>
    <x v="1"/>
    <x v="6"/>
    <x v="3528"/>
    <d v="2017-01-18T12:01:58"/>
    <x v="51"/>
    <x v="2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x v="0"/>
    <n v="18"/>
    <x v="0"/>
    <s v="theater/plays"/>
    <n v="132"/>
    <n v="36.67"/>
    <x v="1"/>
    <x v="6"/>
    <x v="3529"/>
    <d v="2015-07-13T01:00:00"/>
    <x v="1001"/>
    <x v="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x v="0"/>
    <n v="22"/>
    <x v="0"/>
    <s v="theater/plays"/>
    <n v="100"/>
    <n v="125"/>
    <x v="1"/>
    <x v="6"/>
    <x v="3530"/>
    <d v="2016-04-10T20:00:00"/>
    <x v="791"/>
    <x v="2"/>
  </r>
  <r>
    <x v="3531"/>
    <s v="The Reinvention of Lily Johnson"/>
    <s v="A political comedy for a crazy election year"/>
    <x v="28"/>
    <x v="1958"/>
    <x v="0"/>
    <x v="0"/>
    <s v="USD"/>
    <n v="1467301334"/>
    <x v="3531"/>
    <x v="0"/>
    <n v="26"/>
    <x v="0"/>
    <s v="theater/plays"/>
    <n v="128"/>
    <n v="49.23"/>
    <x v="1"/>
    <x v="6"/>
    <x v="3531"/>
    <d v="2016-06-30T15:42:14"/>
    <x v="1"/>
    <x v="2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x v="0"/>
    <n v="27"/>
    <x v="0"/>
    <s v="theater/plays"/>
    <n v="119"/>
    <n v="42.3"/>
    <x v="1"/>
    <x v="6"/>
    <x v="3532"/>
    <d v="2014-09-18T03:59:00"/>
    <x v="1002"/>
    <x v="3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x v="0"/>
    <n v="8"/>
    <x v="0"/>
    <s v="theater/plays"/>
    <n v="126"/>
    <n v="78.88"/>
    <x v="1"/>
    <x v="6"/>
    <x v="3533"/>
    <d v="2015-11-11T19:16:07"/>
    <x v="13"/>
    <x v="0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x v="0"/>
    <n v="204"/>
    <x v="0"/>
    <s v="theater/plays"/>
    <n v="156"/>
    <n v="38.28"/>
    <x v="1"/>
    <x v="6"/>
    <x v="3534"/>
    <d v="2015-10-01T15:00:23"/>
    <x v="6"/>
    <x v="0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x v="0"/>
    <n v="46"/>
    <x v="0"/>
    <s v="theater/plays"/>
    <n v="103"/>
    <n v="44.85"/>
    <x v="1"/>
    <x v="6"/>
    <x v="3535"/>
    <d v="2015-10-02T18:00:00"/>
    <x v="606"/>
    <x v="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x v="0"/>
    <n v="17"/>
    <x v="0"/>
    <s v="theater/plays"/>
    <n v="153"/>
    <n v="13.53"/>
    <x v="1"/>
    <x v="6"/>
    <x v="3536"/>
    <d v="2015-12-20T11:59:00"/>
    <x v="613"/>
    <x v="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x v="0"/>
    <n v="28"/>
    <x v="0"/>
    <s v="theater/plays"/>
    <n v="180"/>
    <n v="43.5"/>
    <x v="1"/>
    <x v="6"/>
    <x v="3537"/>
    <d v="2014-11-17T07:59:00"/>
    <x v="1003"/>
    <x v="3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x v="0"/>
    <n v="83"/>
    <x v="0"/>
    <s v="theater/plays"/>
    <n v="128"/>
    <n v="30.95"/>
    <x v="1"/>
    <x v="6"/>
    <x v="3538"/>
    <d v="2016-08-17T10:05:40"/>
    <x v="240"/>
    <x v="2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x v="0"/>
    <n v="13"/>
    <x v="0"/>
    <s v="theater/plays"/>
    <n v="120"/>
    <n v="55.23"/>
    <x v="1"/>
    <x v="6"/>
    <x v="3539"/>
    <d v="2016-09-08T18:08:42"/>
    <x v="31"/>
    <x v="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x v="0"/>
    <n v="8"/>
    <x v="0"/>
    <s v="theater/plays"/>
    <n v="123"/>
    <n v="46.13"/>
    <x v="1"/>
    <x v="6"/>
    <x v="3540"/>
    <d v="2016-06-26T00:04:51"/>
    <x v="1"/>
    <x v="2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x v="0"/>
    <n v="32"/>
    <x v="0"/>
    <s v="theater/plays"/>
    <n v="105"/>
    <n v="39.380000000000003"/>
    <x v="1"/>
    <x v="6"/>
    <x v="3541"/>
    <d v="2015-08-31T17:31:15"/>
    <x v="36"/>
    <x v="0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x v="0"/>
    <n v="85"/>
    <x v="0"/>
    <s v="theater/plays"/>
    <n v="102"/>
    <n v="66.150000000000006"/>
    <x v="1"/>
    <x v="6"/>
    <x v="3542"/>
    <d v="2014-09-07T14:23:42"/>
    <x v="14"/>
    <x v="3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x v="0"/>
    <n v="29"/>
    <x v="0"/>
    <s v="theater/plays"/>
    <n v="105"/>
    <n v="54.14"/>
    <x v="1"/>
    <x v="6"/>
    <x v="3543"/>
    <d v="2015-06-25T18:07:39"/>
    <x v="1"/>
    <x v="0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x v="0"/>
    <n v="24"/>
    <x v="0"/>
    <s v="theater/plays"/>
    <n v="100"/>
    <n v="104.17"/>
    <x v="1"/>
    <x v="6"/>
    <x v="3544"/>
    <d v="2015-03-07T19:57:37"/>
    <x v="1"/>
    <x v="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x v="0"/>
    <n v="8"/>
    <x v="0"/>
    <s v="theater/plays"/>
    <n v="100"/>
    <n v="31.38"/>
    <x v="1"/>
    <x v="6"/>
    <x v="3545"/>
    <d v="2015-04-11T19:22:39"/>
    <x v="1"/>
    <x v="0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x v="0"/>
    <n v="19"/>
    <x v="0"/>
    <s v="theater/plays"/>
    <n v="102"/>
    <n v="59.21"/>
    <x v="1"/>
    <x v="6"/>
    <x v="3546"/>
    <d v="2015-04-01T03:59:00"/>
    <x v="1004"/>
    <x v="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x v="0"/>
    <n v="336"/>
    <x v="0"/>
    <s v="theater/plays"/>
    <n v="114"/>
    <n v="119.18"/>
    <x v="1"/>
    <x v="6"/>
    <x v="3547"/>
    <d v="2016-05-14T03:59:00"/>
    <x v="1005"/>
    <x v="2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x v="0"/>
    <n v="13"/>
    <x v="0"/>
    <s v="theater/plays"/>
    <n v="102"/>
    <n v="164.62"/>
    <x v="1"/>
    <x v="6"/>
    <x v="3548"/>
    <d v="2016-03-05T01:00:00"/>
    <x v="578"/>
    <x v="2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x v="0"/>
    <n v="42"/>
    <x v="0"/>
    <s v="theater/plays"/>
    <n v="102"/>
    <n v="24.29"/>
    <x v="1"/>
    <x v="6"/>
    <x v="3549"/>
    <d v="2015-09-04T09:27:53"/>
    <x v="240"/>
    <x v="0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x v="0"/>
    <n v="64"/>
    <x v="0"/>
    <s v="theater/plays"/>
    <n v="105"/>
    <n v="40.94"/>
    <x v="1"/>
    <x v="6"/>
    <x v="3550"/>
    <d v="2016-05-02T21:26:38"/>
    <x v="1"/>
    <x v="2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x v="0"/>
    <n v="25"/>
    <x v="0"/>
    <s v="theater/plays"/>
    <n v="102"/>
    <n v="61.1"/>
    <x v="1"/>
    <x v="6"/>
    <x v="3551"/>
    <d v="2014-05-22T22:07:00"/>
    <x v="1006"/>
    <x v="3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x v="0"/>
    <n v="20"/>
    <x v="0"/>
    <s v="theater/plays"/>
    <n v="100"/>
    <n v="38.65"/>
    <x v="1"/>
    <x v="6"/>
    <x v="3552"/>
    <d v="2014-06-28T14:05:24"/>
    <x v="1"/>
    <x v="3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x v="0"/>
    <n v="104"/>
    <x v="0"/>
    <s v="theater/plays"/>
    <n v="106"/>
    <n v="56.2"/>
    <x v="1"/>
    <x v="6"/>
    <x v="3553"/>
    <d v="2015-08-12T00:00:00"/>
    <x v="1007"/>
    <x v="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x v="0"/>
    <n v="53"/>
    <x v="0"/>
    <s v="theater/plays"/>
    <n v="113"/>
    <n v="107"/>
    <x v="1"/>
    <x v="6"/>
    <x v="3554"/>
    <d v="2015-02-11T17:00:00"/>
    <x v="1008"/>
    <x v="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x v="0"/>
    <n v="14"/>
    <x v="0"/>
    <s v="theater/plays"/>
    <n v="100"/>
    <n v="171.43"/>
    <x v="1"/>
    <x v="6"/>
    <x v="3555"/>
    <d v="2016-11-17T11:36:34"/>
    <x v="13"/>
    <x v="2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x v="0"/>
    <n v="20"/>
    <x v="0"/>
    <s v="theater/plays"/>
    <n v="100"/>
    <n v="110.5"/>
    <x v="1"/>
    <x v="6"/>
    <x v="3556"/>
    <d v="2014-08-17T15:35:24"/>
    <x v="14"/>
    <x v="3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x v="0"/>
    <n v="558"/>
    <x v="0"/>
    <s v="theater/plays"/>
    <n v="100"/>
    <n v="179.28"/>
    <x v="1"/>
    <x v="6"/>
    <x v="3557"/>
    <d v="2014-05-05T06:38:31"/>
    <x v="322"/>
    <x v="3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x v="0"/>
    <n v="22"/>
    <x v="0"/>
    <s v="theater/plays"/>
    <n v="144"/>
    <n v="22.91"/>
    <x v="1"/>
    <x v="6"/>
    <x v="3558"/>
    <d v="2015-06-26T21:00:00"/>
    <x v="1009"/>
    <x v="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x v="0"/>
    <n v="24"/>
    <x v="0"/>
    <s v="theater/plays"/>
    <n v="104"/>
    <n v="43.13"/>
    <x v="1"/>
    <x v="6"/>
    <x v="3559"/>
    <d v="2015-07-31T08:58:00"/>
    <x v="598"/>
    <x v="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x v="0"/>
    <n v="74"/>
    <x v="0"/>
    <s v="theater/plays"/>
    <n v="108"/>
    <n v="46.89"/>
    <x v="1"/>
    <x v="6"/>
    <x v="3560"/>
    <d v="2015-05-27T02:45:00"/>
    <x v="1010"/>
    <x v="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x v="0"/>
    <n v="54"/>
    <x v="0"/>
    <s v="theater/plays"/>
    <n v="102"/>
    <n v="47.41"/>
    <x v="1"/>
    <x v="6"/>
    <x v="3561"/>
    <d v="2015-08-05T18:36:00"/>
    <x v="1011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x v="0"/>
    <n v="31"/>
    <x v="0"/>
    <s v="theater/plays"/>
    <n v="149"/>
    <n v="15.13"/>
    <x v="1"/>
    <x v="6"/>
    <x v="3562"/>
    <d v="2016-03-13T22:00:00"/>
    <x v="1012"/>
    <x v="2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x v="0"/>
    <n v="25"/>
    <x v="0"/>
    <s v="theater/plays"/>
    <n v="105"/>
    <n v="21.1"/>
    <x v="1"/>
    <x v="6"/>
    <x v="3563"/>
    <d v="2016-08-01T19:00:00"/>
    <x v="666"/>
    <x v="2"/>
  </r>
  <r>
    <x v="3564"/>
    <s v="The Pillowman Aberdeen"/>
    <s v="Multi Award-Winng play THE PILLOWMAN coming to the Arts Centre Theatre, Aberdeen"/>
    <x v="28"/>
    <x v="2025"/>
    <x v="0"/>
    <x v="1"/>
    <s v="GBP"/>
    <n v="1444060800"/>
    <x v="3564"/>
    <x v="0"/>
    <n v="17"/>
    <x v="0"/>
    <s v="theater/plays"/>
    <n v="101"/>
    <n v="59.12"/>
    <x v="1"/>
    <x v="6"/>
    <x v="3564"/>
    <d v="2015-10-05T16:00:00"/>
    <x v="1013"/>
    <x v="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x v="0"/>
    <n v="12"/>
    <x v="0"/>
    <s v="theater/plays"/>
    <n v="131"/>
    <n v="97.92"/>
    <x v="1"/>
    <x v="6"/>
    <x v="3565"/>
    <d v="2014-12-31T17:50:08"/>
    <x v="1"/>
    <x v="3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x v="0"/>
    <n v="38"/>
    <x v="0"/>
    <s v="theater/plays"/>
    <n v="105"/>
    <n v="55.13"/>
    <x v="1"/>
    <x v="6"/>
    <x v="3566"/>
    <d v="2015-01-23T12:11:23"/>
    <x v="1"/>
    <x v="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x v="0"/>
    <n v="41"/>
    <x v="0"/>
    <s v="theater/plays"/>
    <n v="109"/>
    <n v="26.54"/>
    <x v="1"/>
    <x v="6"/>
    <x v="3567"/>
    <d v="2015-06-10T19:27:24"/>
    <x v="1"/>
    <x v="0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x v="0"/>
    <n v="19"/>
    <x v="0"/>
    <s v="theater/plays"/>
    <n v="111"/>
    <n v="58.42"/>
    <x v="1"/>
    <x v="6"/>
    <x v="3568"/>
    <d v="2014-09-17T17:46:34"/>
    <x v="1"/>
    <x v="3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x v="0"/>
    <n v="41"/>
    <x v="0"/>
    <s v="theater/plays"/>
    <n v="100"/>
    <n v="122.54"/>
    <x v="1"/>
    <x v="6"/>
    <x v="3569"/>
    <d v="2015-01-08T16:31:36"/>
    <x v="1"/>
    <x v="3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x v="0"/>
    <n v="26"/>
    <x v="0"/>
    <s v="theater/plays"/>
    <n v="114"/>
    <n v="87.96"/>
    <x v="1"/>
    <x v="6"/>
    <x v="3570"/>
    <d v="2014-12-31T07:00:00"/>
    <x v="296"/>
    <x v="3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x v="0"/>
    <n v="25"/>
    <x v="0"/>
    <s v="theater/plays"/>
    <n v="122"/>
    <n v="73.239999999999995"/>
    <x v="1"/>
    <x v="6"/>
    <x v="3571"/>
    <d v="2014-10-30T20:36:53"/>
    <x v="1"/>
    <x v="3"/>
  </r>
  <r>
    <x v="3572"/>
    <s v="Monster"/>
    <s v="A darkly comic one woman show by Abram Rooney as part of The Camden Fringe 2015."/>
    <x v="2"/>
    <x v="83"/>
    <x v="0"/>
    <x v="1"/>
    <s v="GBP"/>
    <n v="1434894082"/>
    <x v="3572"/>
    <x v="0"/>
    <n v="9"/>
    <x v="0"/>
    <s v="theater/plays"/>
    <n v="100"/>
    <n v="55.56"/>
    <x v="1"/>
    <x v="6"/>
    <x v="3572"/>
    <d v="2015-06-21T13:41:22"/>
    <x v="1"/>
    <x v="0"/>
  </r>
  <r>
    <x v="3573"/>
    <s v="Licensed To Ill"/>
    <s v="London based theatre makers collaborating to create a new show about the history of HipHop."/>
    <x v="9"/>
    <x v="2363"/>
    <x v="0"/>
    <x v="1"/>
    <s v="GBP"/>
    <n v="1415440846"/>
    <x v="3573"/>
    <x v="0"/>
    <n v="78"/>
    <x v="0"/>
    <s v="theater/plays"/>
    <n v="103"/>
    <n v="39.54"/>
    <x v="1"/>
    <x v="6"/>
    <x v="3573"/>
    <d v="2014-11-08T10:00:46"/>
    <x v="13"/>
    <x v="3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x v="0"/>
    <n v="45"/>
    <x v="0"/>
    <s v="theater/plays"/>
    <n v="106"/>
    <n v="136.78"/>
    <x v="1"/>
    <x v="6"/>
    <x v="3574"/>
    <d v="2014-11-13T23:37:28"/>
    <x v="13"/>
    <x v="3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x v="0"/>
    <n v="102"/>
    <x v="0"/>
    <s v="theater/plays"/>
    <n v="101"/>
    <n v="99.34"/>
    <x v="1"/>
    <x v="6"/>
    <x v="3575"/>
    <d v="2016-08-11T03:59:00"/>
    <x v="1014"/>
    <x v="2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x v="0"/>
    <n v="5"/>
    <x v="0"/>
    <s v="theater/plays"/>
    <n v="100"/>
    <n v="20"/>
    <x v="1"/>
    <x v="6"/>
    <x v="3576"/>
    <d v="2016-12-05T14:10:54"/>
    <x v="27"/>
    <x v="2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x v="0"/>
    <n v="27"/>
    <x v="0"/>
    <s v="theater/plays"/>
    <n v="130"/>
    <n v="28.89"/>
    <x v="1"/>
    <x v="6"/>
    <x v="3577"/>
    <d v="2015-04-26T06:28:00"/>
    <x v="1015"/>
    <x v="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x v="0"/>
    <n v="37"/>
    <x v="0"/>
    <s v="theater/plays"/>
    <n v="100"/>
    <n v="40.549999999999997"/>
    <x v="1"/>
    <x v="6"/>
    <x v="3578"/>
    <d v="2016-04-30T17:36:17"/>
    <x v="1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x v="0"/>
    <n v="14"/>
    <x v="0"/>
    <s v="theater/plays"/>
    <n v="100"/>
    <n v="35.71"/>
    <x v="1"/>
    <x v="6"/>
    <x v="3579"/>
    <d v="2016-03-31T17:17:36"/>
    <x v="22"/>
    <x v="2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x v="0"/>
    <n v="27"/>
    <x v="0"/>
    <s v="theater/plays"/>
    <n v="114"/>
    <n v="37.96"/>
    <x v="1"/>
    <x v="6"/>
    <x v="3580"/>
    <d v="2015-03-01T04:59:00"/>
    <x v="1016"/>
    <x v="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x v="0"/>
    <n v="45"/>
    <x v="0"/>
    <s v="theater/plays"/>
    <n v="100"/>
    <n v="33.33"/>
    <x v="1"/>
    <x v="6"/>
    <x v="3581"/>
    <d v="2014-07-30T11:18:30"/>
    <x v="59"/>
    <x v="3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x v="0"/>
    <n v="49"/>
    <x v="0"/>
    <s v="theater/plays"/>
    <n v="287"/>
    <n v="58.57"/>
    <x v="1"/>
    <x v="6"/>
    <x v="3582"/>
    <d v="2016-04-05T02:18:02"/>
    <x v="59"/>
    <x v="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x v="0"/>
    <n v="24"/>
    <x v="0"/>
    <s v="theater/plays"/>
    <n v="109"/>
    <n v="135.63"/>
    <x v="1"/>
    <x v="6"/>
    <x v="3583"/>
    <d v="2016-04-18T09:13:25"/>
    <x v="80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x v="0"/>
    <n v="112"/>
    <x v="0"/>
    <s v="theater/plays"/>
    <n v="116"/>
    <n v="30.94"/>
    <x v="1"/>
    <x v="6"/>
    <x v="3584"/>
    <d v="2015-07-13T07:35:44"/>
    <x v="1"/>
    <x v="0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x v="0"/>
    <n v="23"/>
    <x v="0"/>
    <s v="theater/plays"/>
    <n v="119"/>
    <n v="176.09"/>
    <x v="1"/>
    <x v="6"/>
    <x v="3585"/>
    <d v="2014-12-21T17:11:30"/>
    <x v="1"/>
    <x v="3"/>
  </r>
  <r>
    <x v="3586"/>
    <s v="Actors &amp; Musicians who are Blind or Autistic"/>
    <s v="See Theatre In A New Light"/>
    <x v="51"/>
    <x v="2369"/>
    <x v="0"/>
    <x v="0"/>
    <s v="USD"/>
    <n v="1474649070"/>
    <x v="3586"/>
    <x v="0"/>
    <n v="54"/>
    <x v="0"/>
    <s v="theater/plays"/>
    <n v="109"/>
    <n v="151.97999999999999"/>
    <x v="1"/>
    <x v="6"/>
    <x v="3586"/>
    <d v="2016-09-23T16:44:30"/>
    <x v="14"/>
    <x v="2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x v="0"/>
    <n v="28"/>
    <x v="0"/>
    <s v="theater/plays"/>
    <n v="127"/>
    <n v="22.61"/>
    <x v="1"/>
    <x v="6"/>
    <x v="3587"/>
    <d v="2016-06-27T19:00:00"/>
    <x v="1017"/>
    <x v="2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x v="0"/>
    <n v="11"/>
    <x v="0"/>
    <s v="theater/plays"/>
    <n v="101"/>
    <n v="18.27"/>
    <x v="1"/>
    <x v="6"/>
    <x v="3588"/>
    <d v="2015-04-29T23:00:00"/>
    <x v="1018"/>
    <x v="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x v="0"/>
    <n v="62"/>
    <x v="0"/>
    <s v="theater/plays"/>
    <n v="128"/>
    <n v="82.26"/>
    <x v="1"/>
    <x v="6"/>
    <x v="3589"/>
    <d v="2015-05-26T15:32:27"/>
    <x v="36"/>
    <x v="0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x v="0"/>
    <n v="73"/>
    <x v="0"/>
    <s v="theater/plays"/>
    <n v="100"/>
    <n v="68.53"/>
    <x v="1"/>
    <x v="6"/>
    <x v="3590"/>
    <d v="2014-10-20T08:00:34"/>
    <x v="1"/>
    <x v="3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x v="0"/>
    <n v="18"/>
    <x v="0"/>
    <s v="theater/plays"/>
    <n v="175"/>
    <n v="68.06"/>
    <x v="1"/>
    <x v="6"/>
    <x v="3591"/>
    <d v="2015-01-24T04:59:00"/>
    <x v="788"/>
    <x v="3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x v="0"/>
    <n v="35"/>
    <x v="0"/>
    <s v="theater/plays"/>
    <n v="127"/>
    <n v="72.709999999999994"/>
    <x v="1"/>
    <x v="6"/>
    <x v="3592"/>
    <d v="2015-02-11T04:59:00"/>
    <x v="1019"/>
    <x v="3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x v="0"/>
    <n v="43"/>
    <x v="0"/>
    <s v="theater/plays"/>
    <n v="111"/>
    <n v="77.19"/>
    <x v="1"/>
    <x v="6"/>
    <x v="3593"/>
    <d v="2015-01-05T20:26:00"/>
    <x v="732"/>
    <x v="3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x v="0"/>
    <n v="36"/>
    <x v="0"/>
    <s v="theater/plays"/>
    <n v="126"/>
    <n v="55.97"/>
    <x v="1"/>
    <x v="6"/>
    <x v="3594"/>
    <d v="2016-09-04T01:36:22"/>
    <x v="36"/>
    <x v="2"/>
  </r>
  <r>
    <x v="3595"/>
    <s v="The Flu Season"/>
    <s v="A new theatre company staging Will Eno's The Flu Season in Seattle"/>
    <x v="27"/>
    <x v="2372"/>
    <x v="0"/>
    <x v="0"/>
    <s v="USD"/>
    <n v="1426229940"/>
    <x v="3595"/>
    <x v="0"/>
    <n v="62"/>
    <x v="0"/>
    <s v="theater/plays"/>
    <n v="119"/>
    <n v="49.69"/>
    <x v="1"/>
    <x v="6"/>
    <x v="3595"/>
    <d v="2015-03-13T06:59:00"/>
    <x v="1020"/>
    <x v="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x v="0"/>
    <n v="15"/>
    <x v="0"/>
    <s v="theater/plays"/>
    <n v="108"/>
    <n v="79"/>
    <x v="1"/>
    <x v="6"/>
    <x v="3596"/>
    <d v="2014-08-26T17:09:42"/>
    <x v="31"/>
    <x v="3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x v="0"/>
    <n v="33"/>
    <x v="0"/>
    <s v="theater/plays"/>
    <n v="103"/>
    <n v="77.73"/>
    <x v="1"/>
    <x v="6"/>
    <x v="3597"/>
    <d v="2016-03-03T05:59:00"/>
    <x v="1021"/>
    <x v="2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x v="3598"/>
    <x v="0"/>
    <n v="27"/>
    <x v="0"/>
    <s v="theater/plays"/>
    <n v="110"/>
    <n v="40.78"/>
    <x v="1"/>
    <x v="6"/>
    <x v="3598"/>
    <d v="2014-09-03T04:59:00"/>
    <x v="724"/>
    <x v="3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x v="0"/>
    <n v="17"/>
    <x v="0"/>
    <s v="theater/plays"/>
    <n v="202"/>
    <n v="59.41"/>
    <x v="1"/>
    <x v="6"/>
    <x v="3599"/>
    <d v="2015-08-30T00:00:00"/>
    <x v="679"/>
    <x v="0"/>
  </r>
  <r>
    <x v="3600"/>
    <s v="Pariah"/>
    <s v="The First Play From The Man Who Brought You The Black James Bond!"/>
    <x v="185"/>
    <x v="31"/>
    <x v="0"/>
    <x v="0"/>
    <s v="USD"/>
    <n v="1476390164"/>
    <x v="3600"/>
    <x v="0"/>
    <n v="4"/>
    <x v="0"/>
    <s v="theater/plays"/>
    <n v="130"/>
    <n v="3.25"/>
    <x v="1"/>
    <x v="6"/>
    <x v="3600"/>
    <d v="2016-10-13T20:22:44"/>
    <x v="240"/>
    <x v="2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x v="0"/>
    <n v="53"/>
    <x v="0"/>
    <s v="theater/plays"/>
    <n v="104"/>
    <n v="39.380000000000003"/>
    <x v="1"/>
    <x v="6"/>
    <x v="3601"/>
    <d v="2015-01-16T23:58:02"/>
    <x v="1"/>
    <x v="3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x v="0"/>
    <n v="49"/>
    <x v="0"/>
    <s v="theater/plays"/>
    <n v="100"/>
    <n v="81.67"/>
    <x v="1"/>
    <x v="6"/>
    <x v="3602"/>
    <d v="2016-05-17T21:27:59"/>
    <x v="14"/>
    <x v="2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x v="0"/>
    <n v="57"/>
    <x v="0"/>
    <s v="theater/plays"/>
    <n v="171"/>
    <n v="44.91"/>
    <x v="1"/>
    <x v="6"/>
    <x v="3603"/>
    <d v="2015-11-05T21:44:40"/>
    <x v="13"/>
    <x v="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x v="0"/>
    <n v="69"/>
    <x v="0"/>
    <s v="theater/plays"/>
    <n v="113"/>
    <n v="49.06"/>
    <x v="1"/>
    <x v="6"/>
    <x v="3604"/>
    <d v="2016-04-29T06:59:00"/>
    <x v="1022"/>
    <x v="2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x v="0"/>
    <n v="15"/>
    <x v="0"/>
    <s v="theater/plays"/>
    <n v="184"/>
    <n v="30.67"/>
    <x v="1"/>
    <x v="6"/>
    <x v="3605"/>
    <d v="2016-02-13T19:02:06"/>
    <x v="1"/>
    <x v="2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x v="0"/>
    <n v="64"/>
    <x v="0"/>
    <s v="theater/plays"/>
    <n v="130"/>
    <n v="61.06"/>
    <x v="1"/>
    <x v="6"/>
    <x v="3606"/>
    <d v="2016-08-14T14:30:57"/>
    <x v="1"/>
    <x v="2"/>
  </r>
  <r>
    <x v="3607"/>
    <s v="E15 at The Pleasance and CPT"/>
    <s v="'E15' is a verbatim project that looks at the story of the Focus E15 Campaign"/>
    <x v="131"/>
    <x v="2377"/>
    <x v="0"/>
    <x v="1"/>
    <s v="GBP"/>
    <n v="1450137600"/>
    <x v="3607"/>
    <x v="0"/>
    <n v="20"/>
    <x v="0"/>
    <s v="theater/plays"/>
    <n v="105"/>
    <n v="29"/>
    <x v="1"/>
    <x v="6"/>
    <x v="3607"/>
    <d v="2015-12-15T00:00:00"/>
    <x v="944"/>
    <x v="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x v="0"/>
    <n v="27"/>
    <x v="0"/>
    <s v="theater/plays"/>
    <n v="100"/>
    <n v="29.63"/>
    <x v="1"/>
    <x v="6"/>
    <x v="3608"/>
    <d v="2016-06-17T14:00:00"/>
    <x v="1023"/>
    <x v="2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x v="0"/>
    <n v="21"/>
    <x v="0"/>
    <s v="theater/plays"/>
    <n v="153"/>
    <n v="143.1"/>
    <x v="1"/>
    <x v="6"/>
    <x v="3609"/>
    <d v="2016-03-30T22:48:05"/>
    <x v="22"/>
    <x v="2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x v="0"/>
    <n v="31"/>
    <x v="0"/>
    <s v="theater/plays"/>
    <n v="162"/>
    <n v="52.35"/>
    <x v="1"/>
    <x v="6"/>
    <x v="3610"/>
    <d v="2015-08-17T10:22:16"/>
    <x v="1"/>
    <x v="0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x v="0"/>
    <n v="51"/>
    <x v="0"/>
    <s v="theater/plays"/>
    <n v="136"/>
    <n v="66.67"/>
    <x v="1"/>
    <x v="6"/>
    <x v="3611"/>
    <d v="2015-04-08T08:53:21"/>
    <x v="1"/>
    <x v="0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x v="0"/>
    <n v="57"/>
    <x v="0"/>
    <s v="theater/plays"/>
    <n v="144"/>
    <n v="126.67"/>
    <x v="1"/>
    <x v="6"/>
    <x v="3612"/>
    <d v="2014-06-09T17:26:51"/>
    <x v="2"/>
    <x v="3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x v="0"/>
    <n v="20"/>
    <x v="0"/>
    <s v="theater/plays"/>
    <n v="100"/>
    <n v="62.5"/>
    <x v="1"/>
    <x v="6"/>
    <x v="3613"/>
    <d v="2014-06-28T14:09:34"/>
    <x v="1"/>
    <x v="3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x v="0"/>
    <n v="71"/>
    <x v="0"/>
    <s v="theater/plays"/>
    <n v="101"/>
    <n v="35.49"/>
    <x v="1"/>
    <x v="6"/>
    <x v="3614"/>
    <d v="2015-06-19T01:00:16"/>
    <x v="1"/>
    <x v="0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x v="0"/>
    <n v="72"/>
    <x v="0"/>
    <s v="theater/plays"/>
    <n v="107"/>
    <n v="37.08"/>
    <x v="1"/>
    <x v="6"/>
    <x v="3615"/>
    <d v="2015-12-10T14:14:56"/>
    <x v="1"/>
    <x v="0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x v="0"/>
    <n v="45"/>
    <x v="0"/>
    <s v="theater/plays"/>
    <n v="125"/>
    <n v="69.33"/>
    <x v="1"/>
    <x v="6"/>
    <x v="3616"/>
    <d v="2015-03-19T21:47:44"/>
    <x v="22"/>
    <x v="0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x v="0"/>
    <n v="51"/>
    <x v="0"/>
    <s v="theater/plays"/>
    <n v="119"/>
    <n v="17.25"/>
    <x v="1"/>
    <x v="6"/>
    <x v="3617"/>
    <d v="2017-02-28T00:00:00"/>
    <x v="1024"/>
    <x v="1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x v="0"/>
    <n v="56"/>
    <x v="0"/>
    <s v="theater/plays"/>
    <n v="101"/>
    <n v="36.07"/>
    <x v="1"/>
    <x v="6"/>
    <x v="3618"/>
    <d v="2015-06-03T15:04:10"/>
    <x v="1"/>
    <x v="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x v="0"/>
    <n v="17"/>
    <x v="0"/>
    <s v="theater/plays"/>
    <n v="113"/>
    <n v="66.47"/>
    <x v="1"/>
    <x v="6"/>
    <x v="3619"/>
    <d v="2016-11-19T22:00:00"/>
    <x v="1025"/>
    <x v="2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x v="0"/>
    <n v="197"/>
    <x v="0"/>
    <s v="theater/plays"/>
    <n v="105"/>
    <n v="56.07"/>
    <x v="1"/>
    <x v="6"/>
    <x v="3620"/>
    <d v="2015-03-05T04:00:00"/>
    <x v="1026"/>
    <x v="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x v="0"/>
    <n v="70"/>
    <x v="0"/>
    <s v="theater/plays"/>
    <n v="110"/>
    <n v="47.03"/>
    <x v="1"/>
    <x v="6"/>
    <x v="3621"/>
    <d v="2016-09-30T21:00:00"/>
    <x v="514"/>
    <x v="2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x v="0"/>
    <n v="21"/>
    <x v="0"/>
    <s v="theater/plays"/>
    <n v="100"/>
    <n v="47.67"/>
    <x v="1"/>
    <x v="6"/>
    <x v="3622"/>
    <d v="2014-09-28T03:23:00"/>
    <x v="1027"/>
    <x v="3"/>
  </r>
  <r>
    <x v="3623"/>
    <s v="Since I've Been Here"/>
    <s v="An original play exploring the complications of romantic relationships in all forms."/>
    <x v="30"/>
    <x v="142"/>
    <x v="0"/>
    <x v="0"/>
    <s v="USD"/>
    <n v="1406358000"/>
    <x v="3623"/>
    <x v="0"/>
    <n v="34"/>
    <x v="0"/>
    <s v="theater/plays"/>
    <n v="120"/>
    <n v="88.24"/>
    <x v="1"/>
    <x v="6"/>
    <x v="3623"/>
    <d v="2014-07-26T07:00:00"/>
    <x v="1028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x v="0"/>
    <n v="39"/>
    <x v="0"/>
    <s v="theater/plays"/>
    <n v="105"/>
    <n v="80.72"/>
    <x v="1"/>
    <x v="6"/>
    <x v="3624"/>
    <d v="2016-08-23T18:34:50"/>
    <x v="14"/>
    <x v="2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x v="0"/>
    <n v="78"/>
    <x v="0"/>
    <s v="theater/plays"/>
    <n v="103"/>
    <n v="39.49"/>
    <x v="1"/>
    <x v="6"/>
    <x v="3625"/>
    <d v="2015-07-02T15:39:37"/>
    <x v="1"/>
    <x v="0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x v="0"/>
    <n v="48"/>
    <x v="0"/>
    <s v="theater/plays"/>
    <n v="102"/>
    <n v="84.85"/>
    <x v="1"/>
    <x v="6"/>
    <x v="3626"/>
    <d v="2014-08-16T16:00:57"/>
    <x v="31"/>
    <x v="3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x v="0"/>
    <n v="29"/>
    <x v="0"/>
    <s v="theater/plays"/>
    <n v="100"/>
    <n v="68.97"/>
    <x v="1"/>
    <x v="6"/>
    <x v="3627"/>
    <d v="2016-05-21T03:59:00"/>
    <x v="1029"/>
    <x v="2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x v="0"/>
    <n v="0"/>
    <x v="1"/>
    <s v="theater/musical"/>
    <n v="0"/>
    <n v="0"/>
    <x v="1"/>
    <x v="40"/>
    <x v="3628"/>
    <d v="2015-12-13T20:59:56"/>
    <x v="27"/>
    <x v="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x v="0"/>
    <n v="2"/>
    <x v="1"/>
    <s v="theater/musical"/>
    <n v="0"/>
    <n v="1"/>
    <x v="1"/>
    <x v="40"/>
    <x v="3629"/>
    <d v="2016-05-05T17:00:00"/>
    <x v="1030"/>
    <x v="2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x v="0"/>
    <n v="1"/>
    <x v="1"/>
    <s v="theater/musical"/>
    <n v="0"/>
    <n v="1"/>
    <x v="1"/>
    <x v="40"/>
    <x v="3630"/>
    <d v="2014-11-29T21:19:50"/>
    <x v="13"/>
    <x v="3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x v="0"/>
    <n v="59"/>
    <x v="1"/>
    <s v="theater/musical"/>
    <n v="51"/>
    <n v="147.88"/>
    <x v="1"/>
    <x v="40"/>
    <x v="3631"/>
    <d v="2014-09-23T03:59:00"/>
    <x v="1031"/>
    <x v="3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x v="0"/>
    <n v="1"/>
    <x v="1"/>
    <s v="theater/musical"/>
    <n v="20"/>
    <n v="100"/>
    <x v="1"/>
    <x v="40"/>
    <x v="3632"/>
    <d v="2014-11-23T22:29:09"/>
    <x v="51"/>
    <x v="3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x v="0"/>
    <n v="31"/>
    <x v="1"/>
    <s v="theater/musical"/>
    <n v="35"/>
    <n v="56.84"/>
    <x v="1"/>
    <x v="40"/>
    <x v="3633"/>
    <d v="2016-11-19T01:00:00"/>
    <x v="1032"/>
    <x v="2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x v="0"/>
    <n v="18"/>
    <x v="1"/>
    <s v="theater/musical"/>
    <n v="4"/>
    <n v="176.94"/>
    <x v="1"/>
    <x v="40"/>
    <x v="3634"/>
    <d v="2017-01-14T03:59:00"/>
    <x v="437"/>
    <x v="2"/>
  </r>
  <r>
    <x v="3635"/>
    <s v="Mary's Son"/>
    <s v="Mary's Son is a pop opera about Jesus and the hope he brings to all people."/>
    <x v="8"/>
    <x v="2391"/>
    <x v="2"/>
    <x v="0"/>
    <s v="USD"/>
    <n v="1461186676"/>
    <x v="3635"/>
    <x v="0"/>
    <n v="10"/>
    <x v="1"/>
    <s v="theater/musical"/>
    <n v="36"/>
    <n v="127.6"/>
    <x v="1"/>
    <x v="40"/>
    <x v="3635"/>
    <d v="2016-04-20T21:11:16"/>
    <x v="1"/>
    <x v="2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x v="0"/>
    <n v="0"/>
    <x v="1"/>
    <s v="theater/musical"/>
    <n v="0"/>
    <n v="0"/>
    <x v="1"/>
    <x v="40"/>
    <x v="3636"/>
    <d v="2015-09-14T16:40:29"/>
    <x v="6"/>
    <x v="0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x v="0"/>
    <n v="14"/>
    <x v="1"/>
    <s v="theater/musical"/>
    <n v="31"/>
    <n v="66.14"/>
    <x v="1"/>
    <x v="40"/>
    <x v="3637"/>
    <d v="2015-01-01T16:48:55"/>
    <x v="1"/>
    <x v="3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x v="0"/>
    <n v="2"/>
    <x v="1"/>
    <s v="theater/musical"/>
    <n v="7"/>
    <n v="108"/>
    <x v="1"/>
    <x v="40"/>
    <x v="3638"/>
    <d v="2015-04-19T15:08:52"/>
    <x v="80"/>
    <x v="0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x v="0"/>
    <n v="1"/>
    <x v="1"/>
    <s v="theater/musical"/>
    <n v="0"/>
    <n v="1"/>
    <x v="1"/>
    <x v="40"/>
    <x v="3639"/>
    <d v="2016-10-07T15:11:00"/>
    <x v="80"/>
    <x v="2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x v="0"/>
    <n v="3"/>
    <x v="1"/>
    <s v="theater/musical"/>
    <n v="6"/>
    <n v="18.329999999999998"/>
    <x v="1"/>
    <x v="40"/>
    <x v="3640"/>
    <d v="2015-05-10T18:45:30"/>
    <x v="1"/>
    <x v="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x v="0"/>
    <n v="0"/>
    <x v="1"/>
    <s v="theater/musical"/>
    <n v="0"/>
    <n v="0"/>
    <x v="1"/>
    <x v="40"/>
    <x v="3641"/>
    <d v="2014-10-05T05:00:00"/>
    <x v="1033"/>
    <x v="3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x v="0"/>
    <n v="2"/>
    <x v="1"/>
    <s v="theater/musical"/>
    <n v="2"/>
    <n v="7.5"/>
    <x v="1"/>
    <x v="40"/>
    <x v="3642"/>
    <d v="2015-11-30T17:00:00"/>
    <x v="1034"/>
    <x v="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x v="0"/>
    <n v="0"/>
    <x v="1"/>
    <s v="theater/musical"/>
    <n v="0"/>
    <n v="0"/>
    <x v="1"/>
    <x v="40"/>
    <x v="3643"/>
    <d v="2015-11-17T04:27:19"/>
    <x v="182"/>
    <x v="0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x v="0"/>
    <n v="12"/>
    <x v="1"/>
    <s v="theater/musical"/>
    <n v="16"/>
    <n v="68.42"/>
    <x v="1"/>
    <x v="40"/>
    <x v="3644"/>
    <d v="2016-03-08T04:59:00"/>
    <x v="753"/>
    <x v="2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x v="0"/>
    <n v="1"/>
    <x v="1"/>
    <s v="theater/musical"/>
    <n v="0"/>
    <n v="1"/>
    <x v="1"/>
    <x v="40"/>
    <x v="3645"/>
    <d v="2016-11-22T00:17:18"/>
    <x v="13"/>
    <x v="2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x v="0"/>
    <n v="8"/>
    <x v="1"/>
    <s v="theater/musical"/>
    <n v="5"/>
    <n v="60.13"/>
    <x v="1"/>
    <x v="40"/>
    <x v="3646"/>
    <d v="2015-06-16T23:30:00"/>
    <x v="1035"/>
    <x v="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x v="0"/>
    <n v="2"/>
    <x v="1"/>
    <s v="theater/musical"/>
    <n v="6"/>
    <n v="15"/>
    <x v="1"/>
    <x v="40"/>
    <x v="3647"/>
    <d v="2016-09-30T17:58:47"/>
    <x v="26"/>
    <x v="2"/>
  </r>
  <r>
    <x v="3648"/>
    <s v="Moth Theater Lives"/>
    <s v="Help Moth Live! Support Moth and its artist collective to achieve its 2014/15 season."/>
    <x v="79"/>
    <x v="2392"/>
    <x v="0"/>
    <x v="0"/>
    <s v="USD"/>
    <n v="1412492445"/>
    <x v="3648"/>
    <x v="0"/>
    <n v="73"/>
    <x v="0"/>
    <s v="theater/plays"/>
    <n v="100"/>
    <n v="550.04"/>
    <x v="1"/>
    <x v="6"/>
    <x v="3648"/>
    <d v="2014-10-05T07:00:45"/>
    <x v="1"/>
    <x v="3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x v="0"/>
    <n v="8"/>
    <x v="0"/>
    <s v="theater/plays"/>
    <n v="104"/>
    <n v="97.5"/>
    <x v="1"/>
    <x v="6"/>
    <x v="3649"/>
    <d v="2014-06-16T17:06:34"/>
    <x v="47"/>
    <x v="3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x v="0"/>
    <n v="17"/>
    <x v="0"/>
    <s v="theater/plays"/>
    <n v="100"/>
    <n v="29.41"/>
    <x v="1"/>
    <x v="6"/>
    <x v="3650"/>
    <d v="2016-02-02T11:29:44"/>
    <x v="31"/>
    <x v="2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x v="0"/>
    <n v="9"/>
    <x v="0"/>
    <s v="theater/plays"/>
    <n v="104"/>
    <n v="57.78"/>
    <x v="1"/>
    <x v="6"/>
    <x v="3651"/>
    <d v="2014-08-10T15:59:00"/>
    <x v="1036"/>
    <x v="3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x v="0"/>
    <n v="17"/>
    <x v="0"/>
    <s v="theater/plays"/>
    <n v="251"/>
    <n v="44.24"/>
    <x v="1"/>
    <x v="6"/>
    <x v="3652"/>
    <d v="2016-08-25T03:59:00"/>
    <x v="1037"/>
    <x v="2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x v="0"/>
    <n v="33"/>
    <x v="0"/>
    <s v="theater/plays"/>
    <n v="101"/>
    <n v="60.91"/>
    <x v="1"/>
    <x v="6"/>
    <x v="3653"/>
    <d v="2015-08-05T08:43:27"/>
    <x v="1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x v="0"/>
    <n v="38"/>
    <x v="0"/>
    <s v="theater/plays"/>
    <n v="174"/>
    <n v="68.84"/>
    <x v="1"/>
    <x v="6"/>
    <x v="3654"/>
    <d v="2016-04-03T17:00:00"/>
    <x v="200"/>
    <x v="2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x v="0"/>
    <n v="79"/>
    <x v="0"/>
    <s v="theater/plays"/>
    <n v="116"/>
    <n v="73.58"/>
    <x v="1"/>
    <x v="6"/>
    <x v="3655"/>
    <d v="2015-07-18T06:59:00"/>
    <x v="618"/>
    <x v="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x v="0"/>
    <n v="46"/>
    <x v="0"/>
    <s v="theater/plays"/>
    <n v="106"/>
    <n v="115.02"/>
    <x v="1"/>
    <x v="6"/>
    <x v="3656"/>
    <d v="2017-02-01T22:59:00"/>
    <x v="1038"/>
    <x v="1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x v="0"/>
    <n v="20"/>
    <x v="0"/>
    <s v="theater/plays"/>
    <n v="111"/>
    <n v="110.75"/>
    <x v="1"/>
    <x v="6"/>
    <x v="3657"/>
    <d v="2016-06-01T21:42:00"/>
    <x v="1039"/>
    <x v="2"/>
  </r>
  <r>
    <x v="3658"/>
    <s v="Mr. Marmalade"/>
    <s v="Life is hard when your own imaginary friend can't make time for you."/>
    <x v="15"/>
    <x v="17"/>
    <x v="0"/>
    <x v="0"/>
    <s v="USD"/>
    <n v="1404273540"/>
    <x v="3658"/>
    <x v="0"/>
    <n v="20"/>
    <x v="0"/>
    <s v="theater/plays"/>
    <n v="101"/>
    <n v="75.5"/>
    <x v="1"/>
    <x v="6"/>
    <x v="3658"/>
    <d v="2014-07-02T03:59:00"/>
    <x v="1040"/>
    <x v="3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x v="0"/>
    <n v="13"/>
    <x v="0"/>
    <s v="theater/plays"/>
    <n v="102"/>
    <n v="235.46"/>
    <x v="1"/>
    <x v="6"/>
    <x v="3659"/>
    <d v="2015-03-19T14:39:00"/>
    <x v="1041"/>
    <x v="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x v="0"/>
    <n v="22"/>
    <x v="0"/>
    <s v="theater/plays"/>
    <n v="100"/>
    <n v="11.36"/>
    <x v="1"/>
    <x v="6"/>
    <x v="3660"/>
    <d v="2014-12-23T21:08:45"/>
    <x v="36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x v="0"/>
    <n v="36"/>
    <x v="0"/>
    <s v="theater/plays"/>
    <n v="111"/>
    <n v="92.5"/>
    <x v="1"/>
    <x v="6"/>
    <x v="3661"/>
    <d v="2016-04-10T04:00:00"/>
    <x v="1042"/>
    <x v="2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x v="0"/>
    <n v="40"/>
    <x v="0"/>
    <s v="theater/plays"/>
    <n v="101"/>
    <n v="202.85"/>
    <x v="1"/>
    <x v="6"/>
    <x v="3662"/>
    <d v="2015-03-31T04:16:54"/>
    <x v="22"/>
    <x v="0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x v="0"/>
    <n v="9"/>
    <x v="0"/>
    <s v="theater/plays"/>
    <n v="104"/>
    <n v="26"/>
    <x v="1"/>
    <x v="6"/>
    <x v="3663"/>
    <d v="2016-12-21T11:50:30"/>
    <x v="27"/>
    <x v="2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x v="0"/>
    <n v="19"/>
    <x v="0"/>
    <s v="theater/plays"/>
    <n v="109"/>
    <n v="46.05"/>
    <x v="1"/>
    <x v="6"/>
    <x v="3664"/>
    <d v="2016-06-16T05:58:09"/>
    <x v="59"/>
    <x v="2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x v="0"/>
    <n v="14"/>
    <x v="0"/>
    <s v="theater/plays"/>
    <n v="115"/>
    <n v="51"/>
    <x v="1"/>
    <x v="6"/>
    <x v="3665"/>
    <d v="2015-10-28T19:54:00"/>
    <x v="1043"/>
    <x v="0"/>
  </r>
  <r>
    <x v="3666"/>
    <s v="Israel LÃ³pez @ Ojai Playwrights Conference"/>
    <s v="Artistic Internship @ Ojai Playwrights Conference"/>
    <x v="38"/>
    <x v="647"/>
    <x v="0"/>
    <x v="0"/>
    <s v="USD"/>
    <n v="1406185200"/>
    <x v="3666"/>
    <x v="0"/>
    <n v="38"/>
    <x v="0"/>
    <s v="theater/plays"/>
    <n v="100"/>
    <n v="31.58"/>
    <x v="1"/>
    <x v="6"/>
    <x v="3666"/>
    <d v="2014-07-24T07:00:00"/>
    <x v="1044"/>
    <x v="3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x v="0"/>
    <n v="58"/>
    <x v="0"/>
    <s v="theater/plays"/>
    <n v="103"/>
    <n v="53.36"/>
    <x v="1"/>
    <x v="6"/>
    <x v="3667"/>
    <d v="2015-07-18T23:16:59"/>
    <x v="1"/>
    <x v="0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x v="0"/>
    <n v="28"/>
    <x v="0"/>
    <s v="theater/plays"/>
    <n v="104"/>
    <n v="36.96"/>
    <x v="1"/>
    <x v="6"/>
    <x v="3668"/>
    <d v="2015-07-23T18:33:00"/>
    <x v="1045"/>
    <x v="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x v="0"/>
    <n v="17"/>
    <x v="0"/>
    <s v="theater/plays"/>
    <n v="138"/>
    <n v="81.290000000000006"/>
    <x v="1"/>
    <x v="6"/>
    <x v="3669"/>
    <d v="2015-06-11T16:12:17"/>
    <x v="1"/>
    <x v="0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x v="0"/>
    <n v="12"/>
    <x v="0"/>
    <s v="theater/plays"/>
    <n v="110"/>
    <n v="20.079999999999998"/>
    <x v="1"/>
    <x v="6"/>
    <x v="3670"/>
    <d v="2015-05-31T23:00:00"/>
    <x v="1046"/>
    <x v="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x v="0"/>
    <n v="40"/>
    <x v="0"/>
    <s v="theater/plays"/>
    <n v="101"/>
    <n v="88.25"/>
    <x v="1"/>
    <x v="6"/>
    <x v="3671"/>
    <d v="2014-07-21T03:59:00"/>
    <x v="1047"/>
    <x v="3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x v="0"/>
    <n v="57"/>
    <x v="0"/>
    <s v="theater/plays"/>
    <n v="102"/>
    <n v="53.44"/>
    <x v="1"/>
    <x v="6"/>
    <x v="3672"/>
    <d v="2014-09-26T22:43:04"/>
    <x v="1"/>
    <x v="3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x v="0"/>
    <n v="114"/>
    <x v="0"/>
    <s v="theater/plays"/>
    <n v="114"/>
    <n v="39.869999999999997"/>
    <x v="1"/>
    <x v="6"/>
    <x v="3673"/>
    <d v="2014-11-05T12:52:00"/>
    <x v="1048"/>
    <x v="3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x v="0"/>
    <n v="31"/>
    <x v="0"/>
    <s v="theater/plays"/>
    <n v="100"/>
    <n v="145.16"/>
    <x v="1"/>
    <x v="6"/>
    <x v="3674"/>
    <d v="2016-09-03T20:57:09"/>
    <x v="14"/>
    <x v="2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x v="0"/>
    <n v="3"/>
    <x v="0"/>
    <s v="theater/plays"/>
    <n v="140"/>
    <n v="23.33"/>
    <x v="1"/>
    <x v="6"/>
    <x v="3675"/>
    <d v="2016-05-15T23:00:00"/>
    <x v="1049"/>
    <x v="2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x v="0"/>
    <n v="16"/>
    <x v="0"/>
    <s v="theater/plays"/>
    <n v="129"/>
    <n v="64.38"/>
    <x v="1"/>
    <x v="6"/>
    <x v="3676"/>
    <d v="2014-09-12T19:34:44"/>
    <x v="18"/>
    <x v="3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x v="0"/>
    <n v="199"/>
    <x v="0"/>
    <s v="theater/plays"/>
    <n v="103"/>
    <n v="62.05"/>
    <x v="1"/>
    <x v="6"/>
    <x v="3677"/>
    <d v="2014-07-03T03:59:00"/>
    <x v="1050"/>
    <x v="3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x v="3678"/>
    <x v="0"/>
    <n v="31"/>
    <x v="0"/>
    <s v="theater/plays"/>
    <n v="103"/>
    <n v="66.13"/>
    <x v="1"/>
    <x v="6"/>
    <x v="3678"/>
    <d v="2015-05-31T12:44:58"/>
    <x v="6"/>
    <x v="0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x v="0"/>
    <n v="30"/>
    <x v="0"/>
    <s v="theater/plays"/>
    <n v="110"/>
    <n v="73.400000000000006"/>
    <x v="1"/>
    <x v="6"/>
    <x v="3679"/>
    <d v="2014-07-01T04:59:00"/>
    <x v="906"/>
    <x v="3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x v="0"/>
    <n v="34"/>
    <x v="0"/>
    <s v="theater/plays"/>
    <n v="113"/>
    <n v="99.5"/>
    <x v="1"/>
    <x v="6"/>
    <x v="3680"/>
    <d v="2016-10-05T10:53:54"/>
    <x v="31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x v="0"/>
    <n v="18"/>
    <x v="0"/>
    <s v="theater/plays"/>
    <n v="112"/>
    <n v="62.17"/>
    <x v="1"/>
    <x v="6"/>
    <x v="3681"/>
    <d v="2016-01-15T15:38:10"/>
    <x v="2"/>
    <x v="2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x v="0"/>
    <n v="67"/>
    <x v="0"/>
    <s v="theater/plays"/>
    <n v="139"/>
    <n v="62.33"/>
    <x v="1"/>
    <x v="6"/>
    <x v="3682"/>
    <d v="2014-06-16T06:59:00"/>
    <x v="1051"/>
    <x v="3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x v="0"/>
    <n v="66"/>
    <x v="0"/>
    <s v="theater/plays"/>
    <n v="111"/>
    <n v="58.79"/>
    <x v="1"/>
    <x v="6"/>
    <x v="3683"/>
    <d v="2016-10-20T02:48:16"/>
    <x v="1"/>
    <x v="2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x v="0"/>
    <n v="23"/>
    <x v="0"/>
    <s v="theater/plays"/>
    <n v="139"/>
    <n v="45.35"/>
    <x v="1"/>
    <x v="6"/>
    <x v="3684"/>
    <d v="2015-09-02T04:19:46"/>
    <x v="1"/>
    <x v="0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x v="0"/>
    <n v="126"/>
    <x v="0"/>
    <s v="theater/plays"/>
    <n v="106"/>
    <n v="41.94"/>
    <x v="1"/>
    <x v="6"/>
    <x v="3685"/>
    <d v="2014-05-19T21:00:00"/>
    <x v="775"/>
    <x v="3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x v="0"/>
    <n v="6"/>
    <x v="0"/>
    <s v="theater/plays"/>
    <n v="101"/>
    <n v="59.17"/>
    <x v="1"/>
    <x v="6"/>
    <x v="3686"/>
    <d v="2015-08-29T03:59:00"/>
    <x v="1052"/>
    <x v="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x v="0"/>
    <n v="25"/>
    <x v="0"/>
    <s v="theater/plays"/>
    <n v="100"/>
    <n v="200.49"/>
    <x v="1"/>
    <x v="6"/>
    <x v="3687"/>
    <d v="2014-06-27T05:14:15"/>
    <x v="1"/>
    <x v="3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x v="0"/>
    <n v="39"/>
    <x v="0"/>
    <s v="theater/plays"/>
    <n v="109"/>
    <n v="83.97"/>
    <x v="1"/>
    <x v="6"/>
    <x v="3688"/>
    <d v="2014-08-08T18:53:24"/>
    <x v="1"/>
    <x v="3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x v="0"/>
    <n v="62"/>
    <x v="0"/>
    <s v="theater/plays"/>
    <n v="118"/>
    <n v="57.26"/>
    <x v="1"/>
    <x v="6"/>
    <x v="3689"/>
    <d v="2015-06-21T22:25:00"/>
    <x v="207"/>
    <x v="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x v="0"/>
    <n v="31"/>
    <x v="0"/>
    <s v="theater/plays"/>
    <n v="120"/>
    <n v="58.06"/>
    <x v="1"/>
    <x v="6"/>
    <x v="3690"/>
    <d v="2014-11-27T15:21:23"/>
    <x v="13"/>
    <x v="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x v="3691"/>
    <x v="0"/>
    <n v="274"/>
    <x v="0"/>
    <s v="theater/plays"/>
    <n v="128"/>
    <n v="186.8"/>
    <x v="1"/>
    <x v="6"/>
    <x v="3691"/>
    <d v="2015-03-02T04:59:00"/>
    <x v="1053"/>
    <x v="0"/>
  </r>
  <r>
    <x v="3692"/>
    <s v="An Evening With Durang"/>
    <s v="Help us independently produce two great comedies by Christopher Durang."/>
    <x v="28"/>
    <x v="2343"/>
    <x v="0"/>
    <x v="0"/>
    <s v="USD"/>
    <n v="1411084800"/>
    <x v="3692"/>
    <x v="0"/>
    <n v="17"/>
    <x v="0"/>
    <s v="theater/plays"/>
    <n v="126"/>
    <n v="74.12"/>
    <x v="1"/>
    <x v="6"/>
    <x v="3692"/>
    <d v="2014-09-19T00:00:00"/>
    <x v="1054"/>
    <x v="3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x v="0"/>
    <n v="14"/>
    <x v="0"/>
    <s v="theater/plays"/>
    <n v="129"/>
    <n v="30.71"/>
    <x v="1"/>
    <x v="6"/>
    <x v="3693"/>
    <d v="2015-11-30T22:30:00"/>
    <x v="1055"/>
    <x v="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x v="0"/>
    <n v="60"/>
    <x v="0"/>
    <s v="theater/plays"/>
    <n v="107"/>
    <n v="62.67"/>
    <x v="1"/>
    <x v="6"/>
    <x v="3694"/>
    <d v="2016-06-06T02:00:00"/>
    <x v="1056"/>
    <x v="2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x v="0"/>
    <n v="33"/>
    <x v="0"/>
    <s v="theater/plays"/>
    <n v="100"/>
    <n v="121.36"/>
    <x v="1"/>
    <x v="6"/>
    <x v="3695"/>
    <d v="2015-01-11T20:53:30"/>
    <x v="51"/>
    <x v="3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x v="0"/>
    <n v="78"/>
    <x v="0"/>
    <s v="theater/plays"/>
    <n v="155"/>
    <n v="39.74"/>
    <x v="1"/>
    <x v="6"/>
    <x v="3696"/>
    <d v="2015-02-13T14:48:36"/>
    <x v="14"/>
    <x v="3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x v="0"/>
    <n v="30"/>
    <x v="0"/>
    <s v="theater/plays"/>
    <n v="108"/>
    <n v="72"/>
    <x v="1"/>
    <x v="6"/>
    <x v="3697"/>
    <d v="2016-05-10T11:10:48"/>
    <x v="31"/>
    <x v="2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x v="0"/>
    <n v="136"/>
    <x v="0"/>
    <s v="theater/plays"/>
    <n v="111"/>
    <n v="40.630000000000003"/>
    <x v="1"/>
    <x v="6"/>
    <x v="3698"/>
    <d v="2016-03-02T19:21:27"/>
    <x v="1"/>
    <x v="2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x v="0"/>
    <n v="40"/>
    <x v="0"/>
    <s v="theater/plays"/>
    <n v="101"/>
    <n v="63"/>
    <x v="1"/>
    <x v="6"/>
    <x v="3699"/>
    <d v="2014-10-15T14:26:56"/>
    <x v="1"/>
    <x v="3"/>
  </r>
  <r>
    <x v="3700"/>
    <s v="Generations (Senior Project)"/>
    <s v="Help me produce the play I have written for my senior project!"/>
    <x v="2"/>
    <x v="2422"/>
    <x v="0"/>
    <x v="0"/>
    <s v="USD"/>
    <n v="1412092800"/>
    <x v="3700"/>
    <x v="0"/>
    <n v="18"/>
    <x v="0"/>
    <s v="theater/plays"/>
    <n v="121"/>
    <n v="33.67"/>
    <x v="1"/>
    <x v="6"/>
    <x v="3700"/>
    <d v="2014-09-30T16:00:00"/>
    <x v="623"/>
    <x v="3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x v="0"/>
    <n v="39"/>
    <x v="0"/>
    <s v="theater/plays"/>
    <n v="100"/>
    <n v="38.590000000000003"/>
    <x v="1"/>
    <x v="6"/>
    <x v="3701"/>
    <d v="2015-06-04T12:59:53"/>
    <x v="1"/>
    <x v="0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x v="0"/>
    <n v="21"/>
    <x v="0"/>
    <s v="theater/plays"/>
    <n v="109"/>
    <n v="155.94999999999999"/>
    <x v="1"/>
    <x v="6"/>
    <x v="3702"/>
    <d v="2016-07-10T22:59:00"/>
    <x v="1057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x v="0"/>
    <n v="30"/>
    <x v="0"/>
    <s v="theater/plays"/>
    <n v="123"/>
    <n v="43.2"/>
    <x v="1"/>
    <x v="6"/>
    <x v="3703"/>
    <d v="2016-08-13T06:59:00"/>
    <x v="1058"/>
    <x v="2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x v="0"/>
    <n v="27"/>
    <x v="0"/>
    <s v="theater/plays"/>
    <n v="136"/>
    <n v="15.15"/>
    <x v="1"/>
    <x v="6"/>
    <x v="3704"/>
    <d v="2016-05-31T16:33:14"/>
    <x v="14"/>
    <x v="2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x v="0"/>
    <n v="35"/>
    <x v="0"/>
    <s v="theater/plays"/>
    <n v="103"/>
    <n v="83.57"/>
    <x v="1"/>
    <x v="6"/>
    <x v="3705"/>
    <d v="2014-06-23T18:00:00"/>
    <x v="1059"/>
    <x v="3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x v="0"/>
    <n v="13"/>
    <x v="0"/>
    <s v="theater/plays"/>
    <n v="121"/>
    <n v="140"/>
    <x v="1"/>
    <x v="6"/>
    <x v="3706"/>
    <d v="2014-09-12T21:55:49"/>
    <x v="20"/>
    <x v="3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x v="0"/>
    <n v="23"/>
    <x v="0"/>
    <s v="theater/plays"/>
    <n v="186"/>
    <n v="80.87"/>
    <x v="1"/>
    <x v="6"/>
    <x v="3707"/>
    <d v="2016-07-22T05:26:00"/>
    <x v="210"/>
    <x v="2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x v="0"/>
    <n v="39"/>
    <x v="0"/>
    <s v="theater/plays"/>
    <n v="300"/>
    <n v="53.85"/>
    <x v="1"/>
    <x v="6"/>
    <x v="3708"/>
    <d v="2014-07-04T03:24:46"/>
    <x v="59"/>
    <x v="3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x v="0"/>
    <n v="35"/>
    <x v="0"/>
    <s v="theater/plays"/>
    <n v="108"/>
    <n v="30.93"/>
    <x v="1"/>
    <x v="6"/>
    <x v="3709"/>
    <d v="2014-06-25T16:59:06"/>
    <x v="1"/>
    <x v="3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x v="0"/>
    <n v="27"/>
    <x v="0"/>
    <s v="theater/plays"/>
    <n v="141"/>
    <n v="67.959999999999994"/>
    <x v="1"/>
    <x v="6"/>
    <x v="3710"/>
    <d v="2015-04-03T13:49:48"/>
    <x v="36"/>
    <x v="0"/>
  </r>
  <r>
    <x v="3711"/>
    <s v="The Youth Shakespeare Project 2014"/>
    <s v="Two teachers and twenty kids bring one of Shakespeare's plays to life!"/>
    <x v="2"/>
    <x v="365"/>
    <x v="0"/>
    <x v="0"/>
    <s v="USD"/>
    <n v="1402848000"/>
    <x v="3711"/>
    <x v="0"/>
    <n v="21"/>
    <x v="0"/>
    <s v="theater/plays"/>
    <n v="114"/>
    <n v="27.14"/>
    <x v="1"/>
    <x v="6"/>
    <x v="3711"/>
    <d v="2014-06-15T16:00:00"/>
    <x v="1060"/>
    <x v="3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x v="0"/>
    <n v="104"/>
    <x v="0"/>
    <s v="theater/plays"/>
    <n v="154"/>
    <n v="110.87"/>
    <x v="1"/>
    <x v="6"/>
    <x v="3712"/>
    <d v="2015-05-31T06:59:00"/>
    <x v="1061"/>
    <x v="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x v="0"/>
    <n v="19"/>
    <x v="0"/>
    <s v="theater/plays"/>
    <n v="102"/>
    <n v="106.84"/>
    <x v="1"/>
    <x v="6"/>
    <x v="3713"/>
    <d v="2016-06-04T17:42:46"/>
    <x v="51"/>
    <x v="2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x v="0"/>
    <n v="97"/>
    <x v="0"/>
    <s v="theater/plays"/>
    <n v="102"/>
    <n v="105.52"/>
    <x v="1"/>
    <x v="6"/>
    <x v="3714"/>
    <d v="2015-05-26T03:59:00"/>
    <x v="1062"/>
    <x v="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x v="0"/>
    <n v="27"/>
    <x v="0"/>
    <s v="theater/plays"/>
    <n v="103"/>
    <n v="132.96"/>
    <x v="1"/>
    <x v="6"/>
    <x v="3715"/>
    <d v="2015-03-31T12:52:00"/>
    <x v="1063"/>
    <x v="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x v="0"/>
    <n v="24"/>
    <x v="0"/>
    <s v="theater/plays"/>
    <n v="156"/>
    <n v="51.92"/>
    <x v="1"/>
    <x v="6"/>
    <x v="3716"/>
    <d v="2016-01-21T21:18:29"/>
    <x v="1"/>
    <x v="0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x v="0"/>
    <n v="13"/>
    <x v="0"/>
    <s v="theater/plays"/>
    <n v="101"/>
    <n v="310"/>
    <x v="1"/>
    <x v="6"/>
    <x v="3717"/>
    <d v="2015-05-09T20:47:29"/>
    <x v="102"/>
    <x v="0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x v="0"/>
    <n v="46"/>
    <x v="0"/>
    <s v="theater/plays"/>
    <n v="239"/>
    <n v="26.02"/>
    <x v="1"/>
    <x v="6"/>
    <x v="3718"/>
    <d v="2015-02-27T17:11:15"/>
    <x v="1"/>
    <x v="0"/>
  </r>
  <r>
    <x v="3719"/>
    <s v="Corium"/>
    <s v="A new piece of physical theatre about love, regret and longing."/>
    <x v="48"/>
    <x v="2433"/>
    <x v="0"/>
    <x v="1"/>
    <s v="GBP"/>
    <n v="1434994266"/>
    <x v="3719"/>
    <x v="0"/>
    <n v="4"/>
    <x v="0"/>
    <s v="theater/plays"/>
    <n v="210"/>
    <n v="105"/>
    <x v="1"/>
    <x v="6"/>
    <x v="3719"/>
    <d v="2015-06-22T17:31:06"/>
    <x v="1"/>
    <x v="0"/>
  </r>
  <r>
    <x v="3720"/>
    <s v="Lakotas and the American Theatre"/>
    <s v="Breaking the American Indian stereotype in the American Theatre."/>
    <x v="126"/>
    <x v="2434"/>
    <x v="0"/>
    <x v="0"/>
    <s v="USD"/>
    <n v="1435881006"/>
    <x v="3720"/>
    <x v="0"/>
    <n v="40"/>
    <x v="0"/>
    <s v="theater/plays"/>
    <n v="105"/>
    <n v="86.23"/>
    <x v="1"/>
    <x v="6"/>
    <x v="3720"/>
    <d v="2015-07-02T23:50:06"/>
    <x v="35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x v="0"/>
    <n v="44"/>
    <x v="0"/>
    <s v="theater/plays"/>
    <n v="101"/>
    <n v="114.55"/>
    <x v="1"/>
    <x v="6"/>
    <x v="3721"/>
    <d v="2014-11-05T23:28:04"/>
    <x v="78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x v="0"/>
    <n v="35"/>
    <x v="0"/>
    <s v="theater/plays"/>
    <n v="111"/>
    <n v="47.66"/>
    <x v="1"/>
    <x v="6"/>
    <x v="3722"/>
    <d v="2016-02-11T22:59:00"/>
    <x v="436"/>
    <x v="2"/>
  </r>
  <r>
    <x v="3723"/>
    <s v="Beauty and the Beast"/>
    <s v="Saltmine Theatre Company present Beauty and the Beast:"/>
    <x v="37"/>
    <x v="2437"/>
    <x v="0"/>
    <x v="1"/>
    <s v="GBP"/>
    <n v="1417374262"/>
    <x v="3723"/>
    <x v="0"/>
    <n v="63"/>
    <x v="0"/>
    <s v="theater/plays"/>
    <n v="102"/>
    <n v="72.89"/>
    <x v="1"/>
    <x v="6"/>
    <x v="3723"/>
    <d v="2014-11-30T19:04:22"/>
    <x v="13"/>
    <x v="3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x v="0"/>
    <n v="89"/>
    <x v="0"/>
    <s v="theater/plays"/>
    <n v="103"/>
    <n v="49.55"/>
    <x v="1"/>
    <x v="6"/>
    <x v="3724"/>
    <d v="2016-05-04T23:00:00"/>
    <x v="874"/>
    <x v="2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x v="0"/>
    <n v="15"/>
    <x v="0"/>
    <s v="theater/plays"/>
    <n v="127"/>
    <n v="25.4"/>
    <x v="1"/>
    <x v="6"/>
    <x v="3725"/>
    <d v="2016-02-18T21:30:00"/>
    <x v="1064"/>
    <x v="2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x v="0"/>
    <n v="46"/>
    <x v="0"/>
    <s v="theater/plays"/>
    <n v="339"/>
    <n v="62.59"/>
    <x v="1"/>
    <x v="6"/>
    <x v="3726"/>
    <d v="2016-04-29T21:00:00"/>
    <x v="1065"/>
    <x v="2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x v="0"/>
    <n v="33"/>
    <x v="0"/>
    <s v="theater/plays"/>
    <n v="101"/>
    <n v="61.06"/>
    <x v="1"/>
    <x v="6"/>
    <x v="3727"/>
    <d v="2016-10-20T04:55:00"/>
    <x v="1066"/>
    <x v="2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x v="0"/>
    <n v="31"/>
    <x v="1"/>
    <s v="theater/plays"/>
    <n v="9"/>
    <n v="60.06"/>
    <x v="1"/>
    <x v="6"/>
    <x v="3728"/>
    <d v="2015-08-19T04:06:16"/>
    <x v="1"/>
    <x v="0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x v="0"/>
    <n v="5"/>
    <x v="1"/>
    <s v="theater/plays"/>
    <n v="7"/>
    <n v="72.400000000000006"/>
    <x v="1"/>
    <x v="6"/>
    <x v="3729"/>
    <d v="2015-03-23T03:55:12"/>
    <x v="129"/>
    <x v="0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x v="0"/>
    <n v="1"/>
    <x v="1"/>
    <s v="theater/plays"/>
    <n v="10"/>
    <n v="100"/>
    <x v="1"/>
    <x v="6"/>
    <x v="3730"/>
    <d v="2015-08-17T16:15:59"/>
    <x v="1"/>
    <x v="0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x v="0"/>
    <n v="12"/>
    <x v="1"/>
    <s v="theater/plays"/>
    <n v="11"/>
    <n v="51.67"/>
    <x v="1"/>
    <x v="6"/>
    <x v="3731"/>
    <d v="2015-01-10T03:23:00"/>
    <x v="157"/>
    <x v="3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x v="0"/>
    <n v="4"/>
    <x v="1"/>
    <s v="theater/plays"/>
    <n v="15"/>
    <n v="32.75"/>
    <x v="1"/>
    <x v="6"/>
    <x v="3732"/>
    <d v="2015-01-24T12:00:00"/>
    <x v="1067"/>
    <x v="3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x v="0"/>
    <n v="0"/>
    <x v="1"/>
    <s v="theater/plays"/>
    <n v="0"/>
    <n v="0"/>
    <x v="1"/>
    <x v="6"/>
    <x v="3733"/>
    <d v="2015-04-18T22:30:00"/>
    <x v="1068"/>
    <x v="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x v="0"/>
    <n v="7"/>
    <x v="1"/>
    <s v="theater/plays"/>
    <n v="28"/>
    <n v="61"/>
    <x v="1"/>
    <x v="6"/>
    <x v="3734"/>
    <d v="2015-05-25T21:38:16"/>
    <x v="14"/>
    <x v="0"/>
  </r>
  <r>
    <x v="3735"/>
    <s v="Women Beware Women"/>
    <s v="Young Actor's taking on a Jacobean tragedy. Family, betrayal, love, lust, sex and death."/>
    <x v="325"/>
    <x v="170"/>
    <x v="2"/>
    <x v="1"/>
    <s v="GBP"/>
    <n v="1432831089"/>
    <x v="3735"/>
    <x v="0"/>
    <n v="2"/>
    <x v="1"/>
    <s v="theater/plays"/>
    <n v="13"/>
    <n v="10"/>
    <x v="1"/>
    <x v="6"/>
    <x v="3735"/>
    <d v="2015-05-28T16:38:09"/>
    <x v="1"/>
    <x v="0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x v="0"/>
    <n v="1"/>
    <x v="1"/>
    <s v="theater/plays"/>
    <n v="1"/>
    <n v="10"/>
    <x v="1"/>
    <x v="6"/>
    <x v="3736"/>
    <d v="2015-03-23T18:00:00"/>
    <x v="1069"/>
    <x v="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x v="3737"/>
    <x v="0"/>
    <n v="4"/>
    <x v="1"/>
    <s v="theater/plays"/>
    <n v="21"/>
    <n v="37.5"/>
    <x v="1"/>
    <x v="6"/>
    <x v="3737"/>
    <d v="2015-11-12T06:59:00"/>
    <x v="1070"/>
    <x v="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x v="0"/>
    <n v="6"/>
    <x v="1"/>
    <s v="theater/plays"/>
    <n v="18"/>
    <n v="45"/>
    <x v="1"/>
    <x v="6"/>
    <x v="3738"/>
    <d v="2014-07-15T22:00:00"/>
    <x v="1071"/>
    <x v="3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x v="0"/>
    <n v="8"/>
    <x v="1"/>
    <s v="theater/plays"/>
    <n v="20"/>
    <n v="100.63"/>
    <x v="1"/>
    <x v="6"/>
    <x v="3739"/>
    <d v="2016-07-17T10:47:48"/>
    <x v="51"/>
    <x v="2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x v="0"/>
    <n v="14"/>
    <x v="1"/>
    <s v="theater/plays"/>
    <n v="18"/>
    <n v="25.57"/>
    <x v="1"/>
    <x v="6"/>
    <x v="3740"/>
    <d v="2014-08-12T01:53:58"/>
    <x v="99"/>
    <x v="3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x v="0"/>
    <n v="0"/>
    <x v="1"/>
    <s v="theater/plays"/>
    <n v="0"/>
    <n v="0"/>
    <x v="1"/>
    <x v="6"/>
    <x v="3741"/>
    <d v="2015-12-17T22:05:50"/>
    <x v="1"/>
    <x v="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x v="0"/>
    <n v="4"/>
    <x v="1"/>
    <s v="theater/plays"/>
    <n v="2"/>
    <n v="25"/>
    <x v="1"/>
    <x v="6"/>
    <x v="3742"/>
    <d v="2014-09-06T05:09:04"/>
    <x v="1"/>
    <x v="3"/>
  </r>
  <r>
    <x v="3743"/>
    <s v="Down the Mississippi"/>
    <s v="I'm taking the Adventures of Huckleberry Finn puppet show down the Mississippi River!"/>
    <x v="41"/>
    <x v="117"/>
    <x v="2"/>
    <x v="0"/>
    <s v="USD"/>
    <n v="1404406964"/>
    <x v="3743"/>
    <x v="0"/>
    <n v="0"/>
    <x v="1"/>
    <s v="theater/plays"/>
    <n v="0"/>
    <n v="0"/>
    <x v="1"/>
    <x v="6"/>
    <x v="3743"/>
    <d v="2014-07-03T17:02:44"/>
    <x v="1"/>
    <x v="3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x v="0"/>
    <n v="0"/>
    <x v="1"/>
    <s v="theater/plays"/>
    <n v="0"/>
    <n v="0"/>
    <x v="1"/>
    <x v="6"/>
    <x v="3744"/>
    <d v="2014-07-05T03:59:00"/>
    <x v="7"/>
    <x v="3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x v="0"/>
    <n v="1"/>
    <x v="1"/>
    <s v="theater/plays"/>
    <n v="10"/>
    <n v="10"/>
    <x v="1"/>
    <x v="6"/>
    <x v="3745"/>
    <d v="2014-08-10T16:45:02"/>
    <x v="1"/>
    <x v="3"/>
  </r>
  <r>
    <x v="3746"/>
    <s v="Stage Play Production - &quot;I Love You to Death&quot;"/>
    <s v="Generational curses CAN be broken...right?"/>
    <x v="0"/>
    <x v="1672"/>
    <x v="2"/>
    <x v="0"/>
    <s v="USD"/>
    <n v="1475918439"/>
    <x v="3746"/>
    <x v="0"/>
    <n v="1"/>
    <x v="1"/>
    <s v="theater/plays"/>
    <n v="2"/>
    <n v="202"/>
    <x v="1"/>
    <x v="6"/>
    <x v="3746"/>
    <d v="2016-10-08T09:20:39"/>
    <x v="1"/>
    <x v="2"/>
  </r>
  <r>
    <x v="3747"/>
    <s v="Counting Stars"/>
    <s v="The world premiere of an astonishing new play by acclaimed writer Atiha Sen Gupta."/>
    <x v="30"/>
    <x v="379"/>
    <x v="2"/>
    <x v="1"/>
    <s v="GBP"/>
    <n v="1436137140"/>
    <x v="3747"/>
    <x v="0"/>
    <n v="1"/>
    <x v="1"/>
    <s v="theater/plays"/>
    <n v="1"/>
    <n v="25"/>
    <x v="1"/>
    <x v="6"/>
    <x v="3747"/>
    <d v="2015-07-05T22:59:00"/>
    <x v="1072"/>
    <x v="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x v="0"/>
    <n v="52"/>
    <x v="0"/>
    <s v="theater/musical"/>
    <n v="104"/>
    <n v="99.54"/>
    <x v="1"/>
    <x v="40"/>
    <x v="3748"/>
    <d v="2016-02-16T05:59:00"/>
    <x v="1047"/>
    <x v="2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x v="0"/>
    <n v="7"/>
    <x v="0"/>
    <s v="theater/musical"/>
    <n v="105"/>
    <n v="75"/>
    <x v="1"/>
    <x v="40"/>
    <x v="3749"/>
    <d v="2016-04-29T03:59:00"/>
    <x v="160"/>
    <x v="2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x v="0"/>
    <n v="28"/>
    <x v="0"/>
    <s v="theater/musical"/>
    <n v="100"/>
    <n v="215.25"/>
    <x v="1"/>
    <x v="40"/>
    <x v="3750"/>
    <d v="2015-02-10T07:59:00"/>
    <x v="774"/>
    <x v="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x v="0"/>
    <n v="11"/>
    <x v="0"/>
    <s v="theater/musical"/>
    <n v="133"/>
    <n v="120.55"/>
    <x v="1"/>
    <x v="40"/>
    <x v="3751"/>
    <d v="2016-04-02T23:51:13"/>
    <x v="80"/>
    <x v="2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x v="0"/>
    <n v="15"/>
    <x v="0"/>
    <s v="theater/musical"/>
    <n v="113"/>
    <n v="37.67"/>
    <x v="1"/>
    <x v="40"/>
    <x v="3752"/>
    <d v="2016-10-16T21:00:00"/>
    <x v="1073"/>
    <x v="2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x v="0"/>
    <n v="30"/>
    <x v="0"/>
    <s v="theater/musical"/>
    <n v="103"/>
    <n v="172.23"/>
    <x v="1"/>
    <x v="40"/>
    <x v="3753"/>
    <d v="2015-06-03T00:00:00"/>
    <x v="1074"/>
    <x v="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x v="0"/>
    <n v="27"/>
    <x v="0"/>
    <s v="theater/musical"/>
    <n v="120"/>
    <n v="111.11"/>
    <x v="1"/>
    <x v="40"/>
    <x v="3754"/>
    <d v="2014-07-26T04:59:00"/>
    <x v="587"/>
    <x v="3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x v="0"/>
    <n v="28"/>
    <x v="0"/>
    <s v="theater/musical"/>
    <n v="130"/>
    <n v="25.46"/>
    <x v="1"/>
    <x v="40"/>
    <x v="3755"/>
    <d v="2016-04-15T20:48:27"/>
    <x v="1"/>
    <x v="2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x v="0"/>
    <n v="17"/>
    <x v="0"/>
    <s v="theater/musical"/>
    <n v="101"/>
    <n v="267.64999999999998"/>
    <x v="1"/>
    <x v="40"/>
    <x v="3756"/>
    <d v="2014-06-11T19:33:18"/>
    <x v="1"/>
    <x v="3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x v="0"/>
    <n v="50"/>
    <x v="0"/>
    <s v="theater/musical"/>
    <n v="109"/>
    <n v="75.959999999999994"/>
    <x v="1"/>
    <x v="40"/>
    <x v="3757"/>
    <d v="2014-12-01T20:25:15"/>
    <x v="51"/>
    <x v="3"/>
  </r>
  <r>
    <x v="3758"/>
    <s v="Luigi's Ladies"/>
    <s v="LUIGI'S LADIES: an original one-woman musical comedy"/>
    <x v="15"/>
    <x v="317"/>
    <x v="0"/>
    <x v="0"/>
    <s v="USD"/>
    <n v="1400475600"/>
    <x v="3758"/>
    <x v="0"/>
    <n v="26"/>
    <x v="0"/>
    <s v="theater/musical"/>
    <n v="102"/>
    <n v="59.04"/>
    <x v="1"/>
    <x v="40"/>
    <x v="3758"/>
    <d v="2014-05-19T05:00:00"/>
    <x v="1075"/>
    <x v="3"/>
  </r>
  <r>
    <x v="3759"/>
    <s v="Pared Down Productions"/>
    <s v="A production company specializing in small-scale musicals"/>
    <x v="23"/>
    <x v="2450"/>
    <x v="0"/>
    <x v="0"/>
    <s v="USD"/>
    <n v="1440556553"/>
    <x v="3759"/>
    <x v="0"/>
    <n v="88"/>
    <x v="0"/>
    <s v="theater/musical"/>
    <n v="110"/>
    <n v="50.11"/>
    <x v="1"/>
    <x v="40"/>
    <x v="3759"/>
    <d v="2015-08-26T02:35:53"/>
    <x v="14"/>
    <x v="0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x v="0"/>
    <n v="91"/>
    <x v="0"/>
    <s v="theater/musical"/>
    <n v="101"/>
    <n v="55.5"/>
    <x v="1"/>
    <x v="40"/>
    <x v="3760"/>
    <d v="2014-05-05T12:36:26"/>
    <x v="36"/>
    <x v="3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x v="0"/>
    <n v="3"/>
    <x v="0"/>
    <s v="theater/musical"/>
    <n v="100"/>
    <n v="166.67"/>
    <x v="1"/>
    <x v="40"/>
    <x v="3761"/>
    <d v="2015-08-10T23:00:00"/>
    <x v="1076"/>
    <x v="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x v="0"/>
    <n v="28"/>
    <x v="0"/>
    <s v="theater/musical"/>
    <n v="106"/>
    <n v="47.43"/>
    <x v="1"/>
    <x v="40"/>
    <x v="3762"/>
    <d v="2015-08-02T19:31:29"/>
    <x v="36"/>
    <x v="0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x v="0"/>
    <n v="77"/>
    <x v="0"/>
    <s v="theater/musical"/>
    <n v="100"/>
    <n v="64.94"/>
    <x v="1"/>
    <x v="40"/>
    <x v="3763"/>
    <d v="2015-04-01T17:00:26"/>
    <x v="22"/>
    <x v="0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x v="0"/>
    <n v="27"/>
    <x v="0"/>
    <s v="theater/musical"/>
    <n v="100"/>
    <n v="55.56"/>
    <x v="1"/>
    <x v="40"/>
    <x v="3764"/>
    <d v="2016-05-29T00:36:00"/>
    <x v="1077"/>
    <x v="2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x v="0"/>
    <n v="107"/>
    <x v="0"/>
    <s v="theater/musical"/>
    <n v="113"/>
    <n v="74.22"/>
    <x v="1"/>
    <x v="40"/>
    <x v="3765"/>
    <d v="2014-07-30T18:38:02"/>
    <x v="1"/>
    <x v="3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x v="0"/>
    <n v="96"/>
    <x v="0"/>
    <s v="theater/musical"/>
    <n v="103"/>
    <n v="106.93"/>
    <x v="1"/>
    <x v="40"/>
    <x v="3766"/>
    <d v="2014-07-03T04:00:45"/>
    <x v="6"/>
    <x v="3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x v="0"/>
    <n v="56"/>
    <x v="0"/>
    <s v="theater/musical"/>
    <n v="117"/>
    <n v="41.7"/>
    <x v="1"/>
    <x v="40"/>
    <x v="3767"/>
    <d v="2015-03-01T04:59:00"/>
    <x v="295"/>
    <x v="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x v="0"/>
    <n v="58"/>
    <x v="0"/>
    <s v="theater/musical"/>
    <n v="108"/>
    <n v="74.239999999999995"/>
    <x v="1"/>
    <x v="40"/>
    <x v="3768"/>
    <d v="2014-06-12T17:28:10"/>
    <x v="1"/>
    <x v="3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x v="0"/>
    <n v="15"/>
    <x v="0"/>
    <s v="theater/musical"/>
    <n v="100"/>
    <n v="73.33"/>
    <x v="1"/>
    <x v="40"/>
    <x v="3769"/>
    <d v="2016-04-15T14:21:19"/>
    <x v="1"/>
    <x v="2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x v="0"/>
    <n v="20"/>
    <x v="0"/>
    <s v="theater/musical"/>
    <n v="100"/>
    <n v="100"/>
    <x v="1"/>
    <x v="40"/>
    <x v="3770"/>
    <d v="2015-06-13T22:20:10"/>
    <x v="1"/>
    <x v="0"/>
  </r>
  <r>
    <x v="3771"/>
    <s v="COME OUT SWINGIN'!"/>
    <s v="I would like to make a demo recording of six songs from COME OUT SWINGIN'!"/>
    <x v="28"/>
    <x v="2457"/>
    <x v="0"/>
    <x v="0"/>
    <s v="USD"/>
    <n v="1463529600"/>
    <x v="3771"/>
    <x v="0"/>
    <n v="38"/>
    <x v="0"/>
    <s v="theater/musical"/>
    <n v="146"/>
    <n v="38.42"/>
    <x v="1"/>
    <x v="40"/>
    <x v="3771"/>
    <d v="2016-05-18T00:00:00"/>
    <x v="1078"/>
    <x v="2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x v="0"/>
    <n v="33"/>
    <x v="0"/>
    <s v="theater/musical"/>
    <n v="110"/>
    <n v="166.97"/>
    <x v="1"/>
    <x v="40"/>
    <x v="3772"/>
    <d v="2016-11-29T06:00:00"/>
    <x v="1079"/>
    <x v="2"/>
  </r>
  <r>
    <x v="3773"/>
    <s v="Dundee: A Hip-Hopera"/>
    <s v="A dramatic hip-hopera, inspired from monologues written by the performers."/>
    <x v="10"/>
    <x v="106"/>
    <x v="0"/>
    <x v="0"/>
    <s v="USD"/>
    <n v="1479175680"/>
    <x v="3773"/>
    <x v="0"/>
    <n v="57"/>
    <x v="0"/>
    <s v="theater/musical"/>
    <n v="108"/>
    <n v="94.91"/>
    <x v="1"/>
    <x v="40"/>
    <x v="3773"/>
    <d v="2016-11-15T02:08:00"/>
    <x v="369"/>
    <x v="2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x v="0"/>
    <n v="25"/>
    <x v="0"/>
    <s v="theater/musical"/>
    <n v="100"/>
    <n v="100"/>
    <x v="1"/>
    <x v="40"/>
    <x v="3774"/>
    <d v="2015-04-09T19:00:55"/>
    <x v="184"/>
    <x v="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x v="0"/>
    <n v="14"/>
    <x v="0"/>
    <s v="theater/musical"/>
    <n v="100"/>
    <n v="143.21"/>
    <x v="1"/>
    <x v="40"/>
    <x v="3775"/>
    <d v="2015-04-09T04:00:00"/>
    <x v="504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x v="0"/>
    <n v="94"/>
    <x v="0"/>
    <s v="theater/musical"/>
    <n v="107"/>
    <n v="90.82"/>
    <x v="1"/>
    <x v="40"/>
    <x v="3776"/>
    <d v="2014-08-01T01:00:00"/>
    <x v="1080"/>
    <x v="3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x v="0"/>
    <n v="59"/>
    <x v="0"/>
    <s v="theater/musical"/>
    <n v="143"/>
    <n v="48.54"/>
    <x v="1"/>
    <x v="40"/>
    <x v="3777"/>
    <d v="2014-09-27T04:00:00"/>
    <x v="278"/>
    <x v="3"/>
  </r>
  <r>
    <x v="3778"/>
    <s v="Give a Puppet a Hand"/>
    <s v="Sponsor an AVENUE Q puppet for The Barn Players April 2015 production."/>
    <x v="262"/>
    <x v="570"/>
    <x v="0"/>
    <x v="0"/>
    <s v="USD"/>
    <n v="1423942780"/>
    <x v="3778"/>
    <x v="0"/>
    <n v="36"/>
    <x v="0"/>
    <s v="theater/musical"/>
    <n v="105"/>
    <n v="70.03"/>
    <x v="1"/>
    <x v="40"/>
    <x v="3778"/>
    <d v="2015-02-14T19:39:40"/>
    <x v="14"/>
    <x v="3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x v="0"/>
    <n v="115"/>
    <x v="0"/>
    <s v="theater/musical"/>
    <n v="104"/>
    <n v="135.63"/>
    <x v="1"/>
    <x v="40"/>
    <x v="3779"/>
    <d v="2016-03-26T16:39:00"/>
    <x v="22"/>
    <x v="2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x v="0"/>
    <n v="30"/>
    <x v="0"/>
    <s v="theater/musical"/>
    <n v="120"/>
    <n v="100"/>
    <x v="1"/>
    <x v="40"/>
    <x v="3780"/>
    <d v="2015-07-13T20:06:00"/>
    <x v="1081"/>
    <x v="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x v="0"/>
    <n v="52"/>
    <x v="0"/>
    <s v="theater/musical"/>
    <n v="110"/>
    <n v="94.9"/>
    <x v="1"/>
    <x v="40"/>
    <x v="3781"/>
    <d v="2014-09-08T21:11:25"/>
    <x v="36"/>
    <x v="3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x v="0"/>
    <n v="27"/>
    <x v="0"/>
    <s v="theater/musical"/>
    <n v="102"/>
    <n v="75.37"/>
    <x v="1"/>
    <x v="40"/>
    <x v="3782"/>
    <d v="2016-07-24T23:00:00"/>
    <x v="616"/>
    <x v="2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x v="0"/>
    <n v="24"/>
    <x v="0"/>
    <s v="theater/musical"/>
    <n v="129"/>
    <n v="64.459999999999994"/>
    <x v="1"/>
    <x v="40"/>
    <x v="3783"/>
    <d v="2016-03-15T16:00:00"/>
    <x v="940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x v="0"/>
    <n v="10"/>
    <x v="0"/>
    <s v="theater/musical"/>
    <n v="115"/>
    <n v="115"/>
    <x v="1"/>
    <x v="40"/>
    <x v="3784"/>
    <d v="2016-07-10T23:32:12"/>
    <x v="1"/>
    <x v="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x v="0"/>
    <n v="30"/>
    <x v="0"/>
    <s v="theater/musical"/>
    <n v="151"/>
    <n v="100.5"/>
    <x v="1"/>
    <x v="40"/>
    <x v="3785"/>
    <d v="2016-08-02T10:03:00"/>
    <x v="1082"/>
    <x v="2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x v="0"/>
    <n v="71"/>
    <x v="0"/>
    <s v="theater/musical"/>
    <n v="111"/>
    <n v="93.77"/>
    <x v="1"/>
    <x v="40"/>
    <x v="3786"/>
    <d v="2016-05-27T00:54:35"/>
    <x v="1"/>
    <x v="2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x v="0"/>
    <n v="10"/>
    <x v="0"/>
    <s v="theater/musical"/>
    <n v="100"/>
    <n v="35.1"/>
    <x v="1"/>
    <x v="40"/>
    <x v="3787"/>
    <d v="2015-07-11T03:59:00"/>
    <x v="1083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x v="0"/>
    <n v="1"/>
    <x v="1"/>
    <s v="theater/musical"/>
    <n v="1"/>
    <n v="500"/>
    <x v="1"/>
    <x v="40"/>
    <x v="3788"/>
    <d v="2015-12-23T16:18:00"/>
    <x v="1084"/>
    <x v="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x v="0"/>
    <n v="4"/>
    <x v="1"/>
    <s v="theater/musical"/>
    <n v="3"/>
    <n v="29"/>
    <x v="1"/>
    <x v="40"/>
    <x v="3789"/>
    <d v="2015-06-15T19:10:18"/>
    <x v="114"/>
    <x v="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x v="0"/>
    <n v="0"/>
    <x v="1"/>
    <s v="theater/musical"/>
    <n v="0"/>
    <n v="0"/>
    <x v="1"/>
    <x v="40"/>
    <x v="3790"/>
    <d v="2016-11-22T17:00:23"/>
    <x v="13"/>
    <x v="2"/>
  </r>
  <r>
    <x v="3791"/>
    <s v="Spin! at The Cumming Playhouse"/>
    <s v="Spin! is an original musical comedy-drama presented by Blue Palm Productions."/>
    <x v="15"/>
    <x v="117"/>
    <x v="2"/>
    <x v="0"/>
    <s v="USD"/>
    <n v="1404664592"/>
    <x v="3791"/>
    <x v="0"/>
    <n v="0"/>
    <x v="1"/>
    <s v="theater/musical"/>
    <n v="0"/>
    <n v="0"/>
    <x v="1"/>
    <x v="40"/>
    <x v="3791"/>
    <d v="2014-07-06T16:36:32"/>
    <x v="14"/>
    <x v="3"/>
  </r>
  <r>
    <x v="3792"/>
    <s v="BorikÃ©n: The Show"/>
    <s v="A cultural and historic journey through Puerto Rico's music and dance!"/>
    <x v="78"/>
    <x v="428"/>
    <x v="2"/>
    <x v="0"/>
    <s v="USD"/>
    <n v="1436957022"/>
    <x v="3792"/>
    <x v="0"/>
    <n v="2"/>
    <x v="1"/>
    <s v="theater/musical"/>
    <n v="0"/>
    <n v="17.5"/>
    <x v="1"/>
    <x v="40"/>
    <x v="3792"/>
    <d v="2015-07-15T10:43:42"/>
    <x v="1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x v="0"/>
    <n v="24"/>
    <x v="1"/>
    <s v="theater/musical"/>
    <n v="60"/>
    <n v="174"/>
    <x v="1"/>
    <x v="40"/>
    <x v="3793"/>
    <d v="2014-12-16T22:32:09"/>
    <x v="31"/>
    <x v="3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x v="0"/>
    <n v="1"/>
    <x v="1"/>
    <s v="theater/musical"/>
    <n v="1"/>
    <n v="50"/>
    <x v="1"/>
    <x v="40"/>
    <x v="3794"/>
    <d v="2015-06-07T13:55:54"/>
    <x v="1"/>
    <x v="0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x v="0"/>
    <n v="2"/>
    <x v="1"/>
    <s v="theater/musical"/>
    <n v="2"/>
    <n v="5"/>
    <x v="1"/>
    <x v="40"/>
    <x v="3795"/>
    <d v="2015-08-28T22:30:00"/>
    <x v="1085"/>
    <x v="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x v="0"/>
    <n v="1"/>
    <x v="1"/>
    <s v="theater/musical"/>
    <n v="0"/>
    <n v="1"/>
    <x v="1"/>
    <x v="40"/>
    <x v="3796"/>
    <d v="2017-01-14T00:42:36"/>
    <x v="14"/>
    <x v="2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x v="0"/>
    <n v="37"/>
    <x v="1"/>
    <s v="theater/musical"/>
    <n v="90"/>
    <n v="145.41"/>
    <x v="1"/>
    <x v="40"/>
    <x v="3797"/>
    <d v="2015-04-20T21:09:25"/>
    <x v="1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x v="0"/>
    <n v="5"/>
    <x v="1"/>
    <s v="theater/musical"/>
    <n v="1"/>
    <n v="205"/>
    <x v="1"/>
    <x v="40"/>
    <x v="3798"/>
    <d v="2014-08-10T17:20:48"/>
    <x v="1"/>
    <x v="3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x v="0"/>
    <n v="4"/>
    <x v="1"/>
    <s v="theater/musical"/>
    <n v="4"/>
    <n v="100.5"/>
    <x v="1"/>
    <x v="40"/>
    <x v="3799"/>
    <d v="2016-03-11T22:20:43"/>
    <x v="1"/>
    <x v="2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x v="0"/>
    <n v="16"/>
    <x v="1"/>
    <s v="theater/musical"/>
    <n v="4"/>
    <n v="55.06"/>
    <x v="1"/>
    <x v="40"/>
    <x v="3800"/>
    <d v="2015-01-11T04:59:00"/>
    <x v="1086"/>
    <x v="3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x v="0"/>
    <n v="9"/>
    <x v="1"/>
    <s v="theater/musical"/>
    <n v="9"/>
    <n v="47.33"/>
    <x v="1"/>
    <x v="40"/>
    <x v="3801"/>
    <d v="2015-01-02T16:13:36"/>
    <x v="102"/>
    <x v="3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x v="0"/>
    <n v="0"/>
    <x v="1"/>
    <s v="theater/musical"/>
    <n v="0"/>
    <n v="0"/>
    <x v="1"/>
    <x v="40"/>
    <x v="3802"/>
    <d v="2015-10-22T03:01:46"/>
    <x v="1"/>
    <x v="0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x v="3803"/>
    <x v="0"/>
    <n v="40"/>
    <x v="1"/>
    <s v="theater/musical"/>
    <n v="20"/>
    <n v="58.95"/>
    <x v="1"/>
    <x v="40"/>
    <x v="3803"/>
    <d v="2016-03-04T23:19:28"/>
    <x v="1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x v="0"/>
    <n v="0"/>
    <x v="1"/>
    <s v="theater/musical"/>
    <n v="0"/>
    <n v="0"/>
    <x v="1"/>
    <x v="40"/>
    <x v="3804"/>
    <d v="2016-07-31T07:00:00"/>
    <x v="1087"/>
    <x v="2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x v="0"/>
    <n v="2"/>
    <x v="1"/>
    <s v="theater/musical"/>
    <n v="0"/>
    <n v="1.5"/>
    <x v="1"/>
    <x v="40"/>
    <x v="3805"/>
    <d v="2014-09-27T21:17:20"/>
    <x v="14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x v="0"/>
    <n v="1"/>
    <x v="1"/>
    <s v="theater/musical"/>
    <n v="0"/>
    <n v="5"/>
    <x v="1"/>
    <x v="40"/>
    <x v="3806"/>
    <d v="2014-06-29T06:13:01"/>
    <x v="51"/>
    <x v="3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x v="0"/>
    <n v="9"/>
    <x v="1"/>
    <s v="theater/musical"/>
    <n v="30"/>
    <n v="50.56"/>
    <x v="1"/>
    <x v="40"/>
    <x v="3807"/>
    <d v="2015-04-03T21:48:59"/>
    <x v="354"/>
    <x v="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x v="0"/>
    <n v="24"/>
    <x v="0"/>
    <s v="theater/plays"/>
    <n v="100"/>
    <n v="41.67"/>
    <x v="1"/>
    <x v="6"/>
    <x v="3808"/>
    <d v="2015-04-25T09:53:39"/>
    <x v="80"/>
    <x v="0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x v="0"/>
    <n v="38"/>
    <x v="0"/>
    <s v="theater/plays"/>
    <n v="101"/>
    <n v="53.29"/>
    <x v="1"/>
    <x v="6"/>
    <x v="3809"/>
    <d v="2014-07-30T23:00:00"/>
    <x v="1088"/>
    <x v="3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x v="0"/>
    <n v="26"/>
    <x v="0"/>
    <s v="theater/plays"/>
    <n v="122"/>
    <n v="70.23"/>
    <x v="1"/>
    <x v="6"/>
    <x v="3810"/>
    <d v="2015-03-21T19:22:38"/>
    <x v="22"/>
    <x v="0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x v="0"/>
    <n v="19"/>
    <x v="0"/>
    <s v="theater/plays"/>
    <n v="330"/>
    <n v="43.42"/>
    <x v="1"/>
    <x v="6"/>
    <x v="3811"/>
    <d v="2016-05-31T11:00:00"/>
    <x v="1089"/>
    <x v="2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x v="0"/>
    <n v="11"/>
    <x v="0"/>
    <s v="theater/plays"/>
    <n v="110"/>
    <n v="199.18"/>
    <x v="1"/>
    <x v="6"/>
    <x v="3812"/>
    <d v="2015-06-01T03:59:00"/>
    <x v="1090"/>
    <x v="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x v="0"/>
    <n v="27"/>
    <x v="0"/>
    <s v="theater/plays"/>
    <n v="101"/>
    <n v="78.52"/>
    <x v="1"/>
    <x v="6"/>
    <x v="3813"/>
    <d v="2016-06-14T21:43:00"/>
    <x v="1091"/>
    <x v="2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x v="0"/>
    <n v="34"/>
    <x v="0"/>
    <s v="theater/plays"/>
    <n v="140"/>
    <n v="61.82"/>
    <x v="1"/>
    <x v="6"/>
    <x v="3814"/>
    <d v="2015-04-01T03:59:00"/>
    <x v="1092"/>
    <x v="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x v="0"/>
    <n v="20"/>
    <x v="0"/>
    <s v="theater/plays"/>
    <n v="100"/>
    <n v="50"/>
    <x v="1"/>
    <x v="6"/>
    <x v="3815"/>
    <d v="2015-08-20T23:00:00"/>
    <x v="1093"/>
    <x v="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x v="0"/>
    <n v="37"/>
    <x v="0"/>
    <s v="theater/plays"/>
    <n v="119"/>
    <n v="48.34"/>
    <x v="1"/>
    <x v="6"/>
    <x v="3816"/>
    <d v="2014-07-17T16:33:43"/>
    <x v="1"/>
    <x v="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x v="0"/>
    <n v="20"/>
    <x v="0"/>
    <s v="theater/plays"/>
    <n v="107"/>
    <n v="107.25"/>
    <x v="1"/>
    <x v="6"/>
    <x v="3817"/>
    <d v="2015-10-24T03:59:00"/>
    <x v="1094"/>
    <x v="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x v="0"/>
    <n v="10"/>
    <x v="0"/>
    <s v="theater/plays"/>
    <n v="228"/>
    <n v="57"/>
    <x v="1"/>
    <x v="6"/>
    <x v="3818"/>
    <d v="2015-03-12T19:13:02"/>
    <x v="22"/>
    <x v="0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x v="0"/>
    <n v="26"/>
    <x v="0"/>
    <s v="theater/plays"/>
    <n v="106"/>
    <n v="40.92"/>
    <x v="1"/>
    <x v="6"/>
    <x v="3819"/>
    <d v="2015-07-17T21:02:00"/>
    <x v="1095"/>
    <x v="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x v="0"/>
    <n v="20"/>
    <x v="0"/>
    <s v="theater/plays"/>
    <n v="143"/>
    <n v="21.5"/>
    <x v="1"/>
    <x v="6"/>
    <x v="3820"/>
    <d v="2015-07-05T15:38:37"/>
    <x v="1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x v="0"/>
    <n v="46"/>
    <x v="0"/>
    <s v="theater/plays"/>
    <n v="105"/>
    <n v="79.540000000000006"/>
    <x v="1"/>
    <x v="6"/>
    <x v="3821"/>
    <d v="2016-01-04T04:20:07"/>
    <x v="114"/>
    <x v="0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x v="0"/>
    <n v="76"/>
    <x v="0"/>
    <s v="theater/plays"/>
    <n v="110"/>
    <n v="72.38"/>
    <x v="1"/>
    <x v="6"/>
    <x v="3822"/>
    <d v="2016-01-19T22:59:00"/>
    <x v="1096"/>
    <x v="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x v="0"/>
    <n v="41"/>
    <x v="0"/>
    <s v="theater/plays"/>
    <n v="106"/>
    <n v="64.63"/>
    <x v="1"/>
    <x v="6"/>
    <x v="3823"/>
    <d v="2015-07-20T03:59:00"/>
    <x v="1097"/>
    <x v="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x v="0"/>
    <n v="7"/>
    <x v="0"/>
    <s v="theater/plays"/>
    <n v="108"/>
    <n v="38.57"/>
    <x v="1"/>
    <x v="6"/>
    <x v="3824"/>
    <d v="2016-08-01T13:41:00"/>
    <x v="1098"/>
    <x v="2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x v="0"/>
    <n v="49"/>
    <x v="0"/>
    <s v="theater/plays"/>
    <n v="105"/>
    <n v="107.57"/>
    <x v="1"/>
    <x v="6"/>
    <x v="3825"/>
    <d v="2015-06-17T01:40:14"/>
    <x v="31"/>
    <x v="0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x v="0"/>
    <n v="26"/>
    <x v="0"/>
    <s v="theater/plays"/>
    <n v="119"/>
    <n v="27.5"/>
    <x v="1"/>
    <x v="6"/>
    <x v="3826"/>
    <d v="2015-05-07T10:09:54"/>
    <x v="1"/>
    <x v="0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x v="0"/>
    <n v="65"/>
    <x v="0"/>
    <s v="theater/plays"/>
    <n v="153"/>
    <n v="70.459999999999994"/>
    <x v="1"/>
    <x v="6"/>
    <x v="3827"/>
    <d v="2015-03-27T00:00:00"/>
    <x v="1099"/>
    <x v="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x v="0"/>
    <n v="28"/>
    <x v="0"/>
    <s v="theater/plays"/>
    <n v="100"/>
    <n v="178.57"/>
    <x v="1"/>
    <x v="6"/>
    <x v="3828"/>
    <d v="2014-12-31T13:39:47"/>
    <x v="27"/>
    <x v="3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x v="0"/>
    <n v="8"/>
    <x v="0"/>
    <s v="theater/plays"/>
    <n v="100"/>
    <n v="62.63"/>
    <x v="1"/>
    <x v="6"/>
    <x v="3829"/>
    <d v="2016-08-31T20:46:11"/>
    <x v="51"/>
    <x v="2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x v="0"/>
    <n v="3"/>
    <x v="0"/>
    <s v="theater/plays"/>
    <n v="225"/>
    <n v="75"/>
    <x v="1"/>
    <x v="6"/>
    <x v="3830"/>
    <d v="2016-05-27T17:46:51"/>
    <x v="59"/>
    <x v="2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x v="0"/>
    <n v="9"/>
    <x v="0"/>
    <s v="theater/plays"/>
    <n v="106"/>
    <n v="58.9"/>
    <x v="1"/>
    <x v="6"/>
    <x v="3831"/>
    <d v="2014-11-05T21:22:25"/>
    <x v="78"/>
    <x v="3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x v="0"/>
    <n v="9"/>
    <x v="0"/>
    <s v="theater/plays"/>
    <n v="105"/>
    <n v="139.56"/>
    <x v="1"/>
    <x v="6"/>
    <x v="3832"/>
    <d v="2016-02-20T02:45:35"/>
    <x v="26"/>
    <x v="2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x v="0"/>
    <n v="20"/>
    <x v="0"/>
    <s v="theater/plays"/>
    <n v="117"/>
    <n v="70"/>
    <x v="1"/>
    <x v="6"/>
    <x v="3833"/>
    <d v="2014-12-01T19:09:00"/>
    <x v="1100"/>
    <x v="3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x v="0"/>
    <n v="57"/>
    <x v="0"/>
    <s v="theater/plays"/>
    <n v="109"/>
    <n v="57.39"/>
    <x v="1"/>
    <x v="6"/>
    <x v="3834"/>
    <d v="2015-06-18T10:41:07"/>
    <x v="1"/>
    <x v="0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x v="0"/>
    <n v="8"/>
    <x v="0"/>
    <s v="theater/plays"/>
    <n v="160"/>
    <n v="40"/>
    <x v="1"/>
    <x v="6"/>
    <x v="3835"/>
    <d v="2016-04-21T22:36:48"/>
    <x v="31"/>
    <x v="2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x v="0"/>
    <n v="14"/>
    <x v="0"/>
    <s v="theater/plays"/>
    <n v="113"/>
    <n v="64.290000000000006"/>
    <x v="1"/>
    <x v="6"/>
    <x v="3836"/>
    <d v="2016-08-03T04:09:00"/>
    <x v="460"/>
    <x v="2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x v="3837"/>
    <x v="0"/>
    <n v="17"/>
    <x v="0"/>
    <s v="theater/plays"/>
    <n v="102"/>
    <n v="120.12"/>
    <x v="1"/>
    <x v="6"/>
    <x v="3837"/>
    <d v="2015-07-03T18:22:38"/>
    <x v="232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x v="0"/>
    <n v="100"/>
    <x v="0"/>
    <s v="theater/plays"/>
    <n v="101"/>
    <n v="1008.24"/>
    <x v="1"/>
    <x v="6"/>
    <x v="3838"/>
    <d v="2015-05-22T17:03:29"/>
    <x v="1"/>
    <x v="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x v="0"/>
    <n v="32"/>
    <x v="0"/>
    <s v="theater/plays"/>
    <n v="101"/>
    <n v="63.28"/>
    <x v="1"/>
    <x v="6"/>
    <x v="3839"/>
    <d v="2015-07-30T03:25:24"/>
    <x v="14"/>
    <x v="0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x v="0"/>
    <n v="3"/>
    <x v="0"/>
    <s v="theater/plays"/>
    <n v="6500"/>
    <n v="21.67"/>
    <x v="1"/>
    <x v="6"/>
    <x v="3840"/>
    <d v="2016-03-28T15:50:29"/>
    <x v="191"/>
    <x v="2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x v="1"/>
    <n v="34"/>
    <x v="1"/>
    <s v="theater/plays"/>
    <n v="9"/>
    <n v="25.65"/>
    <x v="1"/>
    <x v="6"/>
    <x v="3841"/>
    <d v="2014-07-20T18:51:27"/>
    <x v="14"/>
    <x v="3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x v="1"/>
    <n v="23"/>
    <x v="1"/>
    <s v="theater/plays"/>
    <n v="22"/>
    <n v="47.7"/>
    <x v="1"/>
    <x v="6"/>
    <x v="3842"/>
    <d v="2014-05-11T11:50:52"/>
    <x v="1"/>
    <x v="3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x v="1"/>
    <n v="19"/>
    <x v="1"/>
    <s v="theater/plays"/>
    <n v="21"/>
    <n v="56.05"/>
    <x v="1"/>
    <x v="6"/>
    <x v="3843"/>
    <d v="2014-06-01T01:44:24"/>
    <x v="36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x v="1"/>
    <n v="50"/>
    <x v="1"/>
    <s v="theater/plays"/>
    <n v="41"/>
    <n v="81.319999999999993"/>
    <x v="1"/>
    <x v="6"/>
    <x v="3844"/>
    <d v="2014-06-03T06:59:00"/>
    <x v="1101"/>
    <x v="3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x v="1"/>
    <n v="12"/>
    <x v="1"/>
    <s v="theater/plays"/>
    <n v="2"/>
    <n v="70.17"/>
    <x v="1"/>
    <x v="6"/>
    <x v="3845"/>
    <d v="2015-10-01T15:02:54"/>
    <x v="1"/>
    <x v="0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x v="1"/>
    <n v="8"/>
    <x v="1"/>
    <s v="theater/plays"/>
    <n v="3"/>
    <n v="23.63"/>
    <x v="1"/>
    <x v="6"/>
    <x v="3846"/>
    <d v="2014-10-04T06:59:00"/>
    <x v="1102"/>
    <x v="3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x v="1"/>
    <n v="9"/>
    <x v="1"/>
    <s v="theater/plays"/>
    <n v="16"/>
    <n v="188.56"/>
    <x v="1"/>
    <x v="6"/>
    <x v="3847"/>
    <d v="2015-07-19T05:23:11"/>
    <x v="26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x v="1"/>
    <n v="43"/>
    <x v="1"/>
    <s v="theater/plays"/>
    <n v="16"/>
    <n v="49.51"/>
    <x v="1"/>
    <x v="6"/>
    <x v="3848"/>
    <d v="2015-10-18T19:36:29"/>
    <x v="1"/>
    <x v="0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x v="1"/>
    <n v="28"/>
    <x v="1"/>
    <s v="theater/plays"/>
    <n v="7"/>
    <n v="75.459999999999994"/>
    <x v="1"/>
    <x v="6"/>
    <x v="3849"/>
    <d v="2015-06-11T18:24:44"/>
    <x v="1"/>
    <x v="0"/>
  </r>
  <r>
    <x v="3850"/>
    <s v="The Vagina Monologues 2015"/>
    <s v="V-Day is a global activist movement to end violence against women and girls."/>
    <x v="28"/>
    <x v="2495"/>
    <x v="2"/>
    <x v="0"/>
    <s v="USD"/>
    <n v="1420081143"/>
    <x v="3850"/>
    <x v="1"/>
    <n v="4"/>
    <x v="1"/>
    <s v="theater/plays"/>
    <n v="4"/>
    <n v="9.5"/>
    <x v="1"/>
    <x v="6"/>
    <x v="3850"/>
    <d v="2015-01-01T02:59:03"/>
    <x v="1"/>
    <x v="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x v="1"/>
    <n v="24"/>
    <x v="1"/>
    <s v="theater/plays"/>
    <n v="34"/>
    <n v="35.5"/>
    <x v="1"/>
    <x v="6"/>
    <x v="3851"/>
    <d v="2015-07-17T10:32:59"/>
    <x v="1"/>
    <x v="0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x v="0"/>
    <n v="2"/>
    <x v="1"/>
    <s v="theater/plays"/>
    <n v="0"/>
    <n v="10"/>
    <x v="1"/>
    <x v="6"/>
    <x v="3852"/>
    <d v="2015-03-27T03:34:36"/>
    <x v="191"/>
    <x v="0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x v="0"/>
    <n v="2"/>
    <x v="1"/>
    <s v="theater/plays"/>
    <n v="0"/>
    <n v="13"/>
    <x v="1"/>
    <x v="6"/>
    <x v="3853"/>
    <d v="2014-09-01T20:09:38"/>
    <x v="6"/>
    <x v="3"/>
  </r>
  <r>
    <x v="3854"/>
    <s v="The Case Of Soghomon Tehlirian"/>
    <s v="A play dedicated to the 100th anniversary of the Armenian Genocide."/>
    <x v="34"/>
    <x v="2496"/>
    <x v="2"/>
    <x v="0"/>
    <s v="USD"/>
    <n v="1431206058"/>
    <x v="3854"/>
    <x v="0"/>
    <n v="20"/>
    <x v="1"/>
    <s v="theater/plays"/>
    <n v="16"/>
    <n v="89.4"/>
    <x v="1"/>
    <x v="6"/>
    <x v="3854"/>
    <d v="2015-05-09T21:14:18"/>
    <x v="1"/>
    <x v="0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x v="0"/>
    <n v="1"/>
    <x v="1"/>
    <s v="theater/plays"/>
    <n v="3"/>
    <n v="25"/>
    <x v="1"/>
    <x v="6"/>
    <x v="3855"/>
    <d v="2015-03-26T22:17:51"/>
    <x v="22"/>
    <x v="0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x v="0"/>
    <n v="1"/>
    <x v="1"/>
    <s v="theater/plays"/>
    <n v="0"/>
    <n v="1"/>
    <x v="1"/>
    <x v="6"/>
    <x v="3856"/>
    <d v="2015-03-08T16:50:03"/>
    <x v="22"/>
    <x v="0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x v="0"/>
    <n v="4"/>
    <x v="1"/>
    <s v="theater/plays"/>
    <n v="5"/>
    <n v="65"/>
    <x v="1"/>
    <x v="6"/>
    <x v="3857"/>
    <d v="2014-08-01T17:12:00"/>
    <x v="1103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x v="0"/>
    <n v="1"/>
    <x v="1"/>
    <s v="theater/plays"/>
    <n v="2"/>
    <n v="10"/>
    <x v="1"/>
    <x v="6"/>
    <x v="3858"/>
    <d v="2015-05-22T21:00:00"/>
    <x v="1104"/>
    <x v="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x v="0"/>
    <n v="1"/>
    <x v="1"/>
    <s v="theater/plays"/>
    <n v="0"/>
    <n v="1"/>
    <x v="1"/>
    <x v="6"/>
    <x v="3859"/>
    <d v="2014-06-25T21:00:00"/>
    <x v="1105"/>
    <x v="3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x v="0"/>
    <n v="13"/>
    <x v="1"/>
    <s v="theater/plays"/>
    <n v="18"/>
    <n v="81.540000000000006"/>
    <x v="1"/>
    <x v="6"/>
    <x v="3860"/>
    <d v="2014-08-12T15:51:50"/>
    <x v="1"/>
    <x v="3"/>
  </r>
  <r>
    <x v="3861"/>
    <s v="READY OR NOT HERE I COME"/>
    <s v="THE COMING OF THE LORD!"/>
    <x v="13"/>
    <x v="173"/>
    <x v="2"/>
    <x v="0"/>
    <s v="USD"/>
    <n v="1415828820"/>
    <x v="3861"/>
    <x v="0"/>
    <n v="1"/>
    <x v="1"/>
    <s v="theater/plays"/>
    <n v="5"/>
    <n v="100"/>
    <x v="1"/>
    <x v="6"/>
    <x v="3861"/>
    <d v="2014-11-12T21:47:00"/>
    <x v="1106"/>
    <x v="3"/>
  </r>
  <r>
    <x v="3862"/>
    <s v="The Container Play"/>
    <s v="The hit immersive theatre experience of England comes to Corpus Christi!"/>
    <x v="51"/>
    <x v="116"/>
    <x v="2"/>
    <x v="0"/>
    <s v="USD"/>
    <n v="1473699540"/>
    <x v="3862"/>
    <x v="0"/>
    <n v="1"/>
    <x v="1"/>
    <s v="theater/plays"/>
    <n v="0"/>
    <n v="1"/>
    <x v="1"/>
    <x v="6"/>
    <x v="3862"/>
    <d v="2016-09-12T16:59:00"/>
    <x v="1107"/>
    <x v="2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x v="0"/>
    <n v="0"/>
    <x v="1"/>
    <s v="theater/plays"/>
    <n v="0"/>
    <n v="0"/>
    <x v="1"/>
    <x v="6"/>
    <x v="3863"/>
    <d v="2015-11-05T16:11:45"/>
    <x v="27"/>
    <x v="0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x v="0"/>
    <n v="3"/>
    <x v="1"/>
    <s v="theater/plays"/>
    <n v="1"/>
    <n v="20"/>
    <x v="1"/>
    <x v="6"/>
    <x v="3864"/>
    <d v="2015-11-17T22:24:14"/>
    <x v="13"/>
    <x v="0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x v="0"/>
    <n v="14"/>
    <x v="1"/>
    <s v="theater/plays"/>
    <n v="27"/>
    <n v="46.43"/>
    <x v="1"/>
    <x v="6"/>
    <x v="3865"/>
    <d v="2014-08-30T05:30:00"/>
    <x v="1108"/>
    <x v="3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x v="0"/>
    <n v="2"/>
    <x v="1"/>
    <s v="theater/plays"/>
    <n v="1"/>
    <n v="5.5"/>
    <x v="1"/>
    <x v="6"/>
    <x v="3866"/>
    <d v="2016-03-23T03:29:00"/>
    <x v="1109"/>
    <x v="2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x v="0"/>
    <n v="5"/>
    <x v="1"/>
    <s v="theater/plays"/>
    <n v="13"/>
    <n v="50.2"/>
    <x v="1"/>
    <x v="6"/>
    <x v="3867"/>
    <d v="2016-06-18T19:32:19"/>
    <x v="1"/>
    <x v="2"/>
  </r>
  <r>
    <x v="3868"/>
    <s v="1000 words (Canceled)"/>
    <s v="New collection of music by Scott Evan Davis!"/>
    <x v="10"/>
    <x v="115"/>
    <x v="1"/>
    <x v="1"/>
    <s v="GBP"/>
    <n v="1410191405"/>
    <x v="3868"/>
    <x v="0"/>
    <n v="1"/>
    <x v="1"/>
    <s v="theater/musical"/>
    <n v="0"/>
    <n v="10"/>
    <x v="1"/>
    <x v="40"/>
    <x v="3868"/>
    <d v="2014-09-08T15:50:05"/>
    <x v="36"/>
    <x v="3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x v="0"/>
    <n v="15"/>
    <x v="1"/>
    <s v="theater/musical"/>
    <n v="3"/>
    <n v="30.13"/>
    <x v="1"/>
    <x v="40"/>
    <x v="3869"/>
    <d v="2015-03-14T03:11:00"/>
    <x v="144"/>
    <x v="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x v="0"/>
    <n v="10"/>
    <x v="1"/>
    <s v="theater/musical"/>
    <n v="15"/>
    <n v="150"/>
    <x v="1"/>
    <x v="40"/>
    <x v="3870"/>
    <d v="2014-07-03T04:07:58"/>
    <x v="1"/>
    <x v="3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x v="0"/>
    <n v="3"/>
    <x v="1"/>
    <s v="theater/musical"/>
    <n v="3"/>
    <n v="13.33"/>
    <x v="1"/>
    <x v="40"/>
    <x v="3871"/>
    <d v="2017-03-29T17:44:10"/>
    <x v="80"/>
    <x v="1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x v="0"/>
    <n v="0"/>
    <x v="1"/>
    <s v="theater/musical"/>
    <n v="0"/>
    <n v="0"/>
    <x v="1"/>
    <x v="40"/>
    <x v="3872"/>
    <d v="2015-08-14T03:29:56"/>
    <x v="76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x v="0"/>
    <n v="0"/>
    <x v="1"/>
    <s v="theater/musical"/>
    <n v="0"/>
    <n v="0"/>
    <x v="1"/>
    <x v="40"/>
    <x v="3873"/>
    <d v="2015-10-08T16:42:15"/>
    <x v="1"/>
    <x v="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x v="0"/>
    <n v="0"/>
    <x v="1"/>
    <s v="theater/musical"/>
    <n v="0"/>
    <n v="0"/>
    <x v="1"/>
    <x v="40"/>
    <x v="3874"/>
    <d v="2015-01-24T01:00:00"/>
    <x v="111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x v="0"/>
    <n v="0"/>
    <x v="1"/>
    <s v="theater/musical"/>
    <n v="0"/>
    <n v="0"/>
    <x v="1"/>
    <x v="40"/>
    <x v="3875"/>
    <d v="2016-09-03T10:00:00"/>
    <x v="1111"/>
    <x v="2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x v="0"/>
    <n v="46"/>
    <x v="1"/>
    <s v="theater/musical"/>
    <n v="53"/>
    <n v="44.76"/>
    <x v="1"/>
    <x v="40"/>
    <x v="3876"/>
    <d v="2016-02-02T14:58:48"/>
    <x v="1"/>
    <x v="2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x v="0"/>
    <n v="14"/>
    <x v="1"/>
    <s v="theater/musical"/>
    <n v="5"/>
    <n v="88.64"/>
    <x v="1"/>
    <x v="40"/>
    <x v="3877"/>
    <d v="2016-12-08T16:15:52"/>
    <x v="1"/>
    <x v="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x v="0"/>
    <n v="1"/>
    <x v="1"/>
    <s v="theater/musical"/>
    <n v="0"/>
    <n v="10"/>
    <x v="1"/>
    <x v="40"/>
    <x v="3878"/>
    <d v="2015-06-30T03:59:00"/>
    <x v="248"/>
    <x v="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x v="0"/>
    <n v="0"/>
    <x v="1"/>
    <s v="theater/musical"/>
    <n v="0"/>
    <n v="0"/>
    <x v="1"/>
    <x v="40"/>
    <x v="3879"/>
    <d v="2015-01-25T20:39:56"/>
    <x v="1"/>
    <x v="3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x v="0"/>
    <n v="17"/>
    <x v="1"/>
    <s v="theater/musical"/>
    <n v="13"/>
    <n v="57.65"/>
    <x v="1"/>
    <x v="40"/>
    <x v="3880"/>
    <d v="2014-07-30T23:00:00"/>
    <x v="1112"/>
    <x v="3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x v="0"/>
    <n v="1"/>
    <x v="1"/>
    <s v="theater/musical"/>
    <n v="5"/>
    <n v="25"/>
    <x v="1"/>
    <x v="40"/>
    <x v="3881"/>
    <d v="2017-02-20T00:26:39"/>
    <x v="1"/>
    <x v="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x v="0"/>
    <n v="0"/>
    <x v="1"/>
    <s v="theater/musical"/>
    <n v="0"/>
    <n v="0"/>
    <x v="1"/>
    <x v="40"/>
    <x v="3882"/>
    <d v="2016-01-31T23:03:00"/>
    <x v="969"/>
    <x v="2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x v="0"/>
    <n v="0"/>
    <x v="1"/>
    <s v="theater/musical"/>
    <n v="0"/>
    <n v="0"/>
    <x v="1"/>
    <x v="40"/>
    <x v="3883"/>
    <d v="2014-09-02T14:27:49"/>
    <x v="1"/>
    <x v="3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x v="0"/>
    <n v="0"/>
    <x v="1"/>
    <s v="theater/musical"/>
    <n v="0"/>
    <n v="0"/>
    <x v="1"/>
    <x v="40"/>
    <x v="3884"/>
    <d v="2015-03-27T17:59:52"/>
    <x v="191"/>
    <x v="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x v="0"/>
    <n v="0"/>
    <x v="1"/>
    <s v="theater/musical"/>
    <n v="0"/>
    <n v="0"/>
    <x v="1"/>
    <x v="40"/>
    <x v="3885"/>
    <d v="2016-05-09T22:49:51"/>
    <x v="1"/>
    <x v="2"/>
  </r>
  <r>
    <x v="3886"/>
    <s v="a (Canceled)"/>
    <n v="1"/>
    <x v="3"/>
    <x v="117"/>
    <x v="1"/>
    <x v="2"/>
    <s v="AUD"/>
    <n v="1418275702"/>
    <x v="3886"/>
    <x v="0"/>
    <n v="0"/>
    <x v="1"/>
    <s v="theater/musical"/>
    <n v="0"/>
    <n v="0"/>
    <x v="1"/>
    <x v="40"/>
    <x v="3886"/>
    <d v="2014-12-11T05:28:22"/>
    <x v="1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x v="0"/>
    <n v="2"/>
    <x v="1"/>
    <s v="theater/musical"/>
    <n v="2"/>
    <n v="17.5"/>
    <x v="1"/>
    <x v="40"/>
    <x v="3887"/>
    <d v="2015-05-01T22:00:00"/>
    <x v="1113"/>
    <x v="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x v="0"/>
    <n v="14"/>
    <x v="1"/>
    <s v="theater/plays"/>
    <n v="27"/>
    <n v="38.71"/>
    <x v="1"/>
    <x v="6"/>
    <x v="3888"/>
    <d v="2017-02-26T13:05:58"/>
    <x v="1"/>
    <x v="1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x v="0"/>
    <n v="9"/>
    <x v="1"/>
    <s v="theater/plays"/>
    <n v="1"/>
    <n v="13.11"/>
    <x v="1"/>
    <x v="6"/>
    <x v="3889"/>
    <d v="2015-01-04T23:26:00"/>
    <x v="1007"/>
    <x v="3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x v="0"/>
    <n v="8"/>
    <x v="1"/>
    <s v="theater/plays"/>
    <n v="17"/>
    <n v="315.5"/>
    <x v="1"/>
    <x v="6"/>
    <x v="3890"/>
    <d v="2015-08-15T18:12:24"/>
    <x v="14"/>
    <x v="0"/>
  </r>
  <r>
    <x v="3891"/>
    <s v="Out of the Box: A Mime Story"/>
    <s v="A comedy about a mime who dreams of becoming a stand up comedian."/>
    <x v="134"/>
    <x v="92"/>
    <x v="2"/>
    <x v="0"/>
    <s v="USD"/>
    <n v="1427086740"/>
    <x v="3891"/>
    <x v="0"/>
    <n v="7"/>
    <x v="1"/>
    <s v="theater/plays"/>
    <n v="33"/>
    <n v="37.14"/>
    <x v="1"/>
    <x v="6"/>
    <x v="3891"/>
    <d v="2015-03-23T04:59:00"/>
    <x v="623"/>
    <x v="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x v="0"/>
    <n v="0"/>
    <x v="1"/>
    <s v="theater/plays"/>
    <n v="0"/>
    <n v="0"/>
    <x v="1"/>
    <x v="6"/>
    <x v="3892"/>
    <d v="2014-08-24T07:00:00"/>
    <x v="1114"/>
    <x v="3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x v="0"/>
    <n v="84"/>
    <x v="1"/>
    <s v="theater/plays"/>
    <n v="22"/>
    <n v="128.27000000000001"/>
    <x v="1"/>
    <x v="6"/>
    <x v="3893"/>
    <d v="2014-07-01T06:00:00"/>
    <x v="1115"/>
    <x v="3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x v="0"/>
    <n v="11"/>
    <x v="1"/>
    <s v="theater/plays"/>
    <n v="3"/>
    <n v="47.27"/>
    <x v="1"/>
    <x v="6"/>
    <x v="3894"/>
    <d v="2016-12-06T04:59:00"/>
    <x v="766"/>
    <x v="2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x v="0"/>
    <n v="1"/>
    <x v="1"/>
    <s v="theater/plays"/>
    <n v="5"/>
    <n v="50"/>
    <x v="1"/>
    <x v="6"/>
    <x v="3895"/>
    <d v="2015-02-28T06:00:18"/>
    <x v="102"/>
    <x v="0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x v="0"/>
    <n v="4"/>
    <x v="1"/>
    <s v="theater/plays"/>
    <n v="11"/>
    <n v="42.5"/>
    <x v="1"/>
    <x v="6"/>
    <x v="3896"/>
    <d v="2014-06-17T04:36:18"/>
    <x v="59"/>
    <x v="3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x v="0"/>
    <n v="10"/>
    <x v="1"/>
    <s v="theater/plays"/>
    <n v="18"/>
    <n v="44"/>
    <x v="1"/>
    <x v="6"/>
    <x v="3897"/>
    <d v="2015-01-08T20:58:03"/>
    <x v="1"/>
    <x v="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x v="0"/>
    <n v="16"/>
    <x v="1"/>
    <s v="theater/plays"/>
    <n v="33"/>
    <n v="50.88"/>
    <x v="1"/>
    <x v="6"/>
    <x v="3898"/>
    <d v="2015-08-17T16:00:00"/>
    <x v="1116"/>
    <x v="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x v="0"/>
    <n v="2"/>
    <x v="1"/>
    <s v="theater/plays"/>
    <n v="1"/>
    <n v="62.5"/>
    <x v="1"/>
    <x v="6"/>
    <x v="3899"/>
    <d v="2014-08-12T18:36:01"/>
    <x v="51"/>
    <x v="3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x v="0"/>
    <n v="5"/>
    <x v="1"/>
    <s v="theater/plays"/>
    <n v="5"/>
    <n v="27"/>
    <x v="1"/>
    <x v="6"/>
    <x v="3900"/>
    <d v="2015-06-11T02:13:11"/>
    <x v="1"/>
    <x v="0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x v="0"/>
    <n v="1"/>
    <x v="1"/>
    <s v="theater/plays"/>
    <n v="1"/>
    <n v="25"/>
    <x v="1"/>
    <x v="6"/>
    <x v="3901"/>
    <d v="2015-12-19T19:49:59"/>
    <x v="4"/>
    <x v="0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x v="0"/>
    <n v="31"/>
    <x v="1"/>
    <s v="theater/plays"/>
    <n v="49"/>
    <n v="47.26"/>
    <x v="1"/>
    <x v="6"/>
    <x v="3902"/>
    <d v="2016-11-14T12:14:02"/>
    <x v="574"/>
    <x v="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x v="0"/>
    <n v="0"/>
    <x v="1"/>
    <s v="theater/plays"/>
    <n v="0"/>
    <n v="0"/>
    <x v="1"/>
    <x v="6"/>
    <x v="3903"/>
    <d v="2015-08-14T19:38:00"/>
    <x v="1117"/>
    <x v="0"/>
  </r>
  <r>
    <x v="3904"/>
    <s v="Black America from Prophets to Pimps"/>
    <s v="A play that will cover 4000 years of black history."/>
    <x v="3"/>
    <x v="158"/>
    <x v="2"/>
    <x v="0"/>
    <s v="USD"/>
    <n v="1429074240"/>
    <x v="3904"/>
    <x v="0"/>
    <n v="2"/>
    <x v="1"/>
    <s v="theater/plays"/>
    <n v="0"/>
    <n v="1.5"/>
    <x v="1"/>
    <x v="6"/>
    <x v="3904"/>
    <d v="2015-04-15T05:04:00"/>
    <x v="649"/>
    <x v="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x v="0"/>
    <n v="7"/>
    <x v="1"/>
    <s v="theater/plays"/>
    <n v="12"/>
    <n v="24.71"/>
    <x v="1"/>
    <x v="6"/>
    <x v="3905"/>
    <d v="2015-06-11T23:00:00"/>
    <x v="1118"/>
    <x v="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x v="0"/>
    <n v="16"/>
    <x v="1"/>
    <s v="theater/plays"/>
    <n v="67"/>
    <n v="63.13"/>
    <x v="1"/>
    <x v="6"/>
    <x v="3906"/>
    <d v="2015-06-26T13:25:00"/>
    <x v="1119"/>
    <x v="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x v="0"/>
    <n v="4"/>
    <x v="1"/>
    <s v="theater/plays"/>
    <n v="15"/>
    <n v="38.25"/>
    <x v="1"/>
    <x v="6"/>
    <x v="3907"/>
    <d v="2014-10-26T20:08:00"/>
    <x v="546"/>
    <x v="3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x v="0"/>
    <n v="4"/>
    <x v="1"/>
    <s v="theater/plays"/>
    <n v="9"/>
    <n v="16.25"/>
    <x v="1"/>
    <x v="6"/>
    <x v="3908"/>
    <d v="2014-07-29T03:14:56"/>
    <x v="20"/>
    <x v="3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x v="0"/>
    <n v="4"/>
    <x v="1"/>
    <s v="theater/plays"/>
    <n v="0"/>
    <n v="33.75"/>
    <x v="1"/>
    <x v="6"/>
    <x v="3909"/>
    <d v="2014-09-11T08:37:22"/>
    <x v="1"/>
    <x v="3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x v="0"/>
    <n v="3"/>
    <x v="1"/>
    <s v="theater/plays"/>
    <n v="3"/>
    <n v="61.67"/>
    <x v="1"/>
    <x v="6"/>
    <x v="3910"/>
    <d v="2015-09-07T18:09:57"/>
    <x v="1"/>
    <x v="0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x v="0"/>
    <n v="36"/>
    <x v="1"/>
    <s v="theater/plays"/>
    <n v="37"/>
    <n v="83.14"/>
    <x v="1"/>
    <x v="6"/>
    <x v="3911"/>
    <d v="2014-11-26T20:29:37"/>
    <x v="13"/>
    <x v="3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x v="0"/>
    <n v="1"/>
    <x v="1"/>
    <s v="theater/plays"/>
    <n v="0"/>
    <n v="1"/>
    <x v="1"/>
    <x v="6"/>
    <x v="3912"/>
    <d v="2015-04-25T04:35:00"/>
    <x v="1120"/>
    <x v="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x v="0"/>
    <n v="7"/>
    <x v="1"/>
    <s v="theater/plays"/>
    <n v="10"/>
    <n v="142.86000000000001"/>
    <x v="1"/>
    <x v="6"/>
    <x v="3913"/>
    <d v="2015-11-30T06:04:09"/>
    <x v="13"/>
    <x v="0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x v="0"/>
    <n v="27"/>
    <x v="1"/>
    <s v="theater/plays"/>
    <n v="36"/>
    <n v="33.67"/>
    <x v="1"/>
    <x v="6"/>
    <x v="3914"/>
    <d v="2015-05-10T22:59:00"/>
    <x v="1121"/>
    <x v="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x v="0"/>
    <n v="1"/>
    <x v="1"/>
    <s v="theater/plays"/>
    <n v="0"/>
    <n v="5"/>
    <x v="1"/>
    <x v="6"/>
    <x v="3915"/>
    <d v="2016-06-01T23:38:29"/>
    <x v="1"/>
    <x v="2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x v="0"/>
    <n v="0"/>
    <x v="1"/>
    <s v="theater/plays"/>
    <n v="0"/>
    <n v="0"/>
    <x v="1"/>
    <x v="6"/>
    <x v="3916"/>
    <d v="2016-06-03T11:19:12"/>
    <x v="1"/>
    <x v="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x v="0"/>
    <n v="1"/>
    <x v="1"/>
    <s v="theater/plays"/>
    <n v="0"/>
    <n v="10"/>
    <x v="1"/>
    <x v="6"/>
    <x v="3917"/>
    <d v="2014-09-11T12:39:21"/>
    <x v="1"/>
    <x v="3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x v="0"/>
    <n v="3"/>
    <x v="1"/>
    <s v="theater/plays"/>
    <n v="0"/>
    <n v="40"/>
    <x v="1"/>
    <x v="6"/>
    <x v="3918"/>
    <d v="2014-08-04T16:00:00"/>
    <x v="542"/>
    <x v="3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x v="0"/>
    <n v="3"/>
    <x v="1"/>
    <s v="theater/plays"/>
    <n v="2"/>
    <n v="30"/>
    <x v="1"/>
    <x v="6"/>
    <x v="3919"/>
    <d v="2016-01-18T00:00:00"/>
    <x v="1122"/>
    <x v="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x v="0"/>
    <n v="3"/>
    <x v="1"/>
    <s v="theater/plays"/>
    <n v="5"/>
    <n v="45"/>
    <x v="1"/>
    <x v="6"/>
    <x v="3920"/>
    <d v="2016-11-13T10:17:40"/>
    <x v="13"/>
    <x v="2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x v="0"/>
    <n v="0"/>
    <x v="1"/>
    <s v="theater/plays"/>
    <n v="0"/>
    <n v="0"/>
    <x v="1"/>
    <x v="6"/>
    <x v="3921"/>
    <d v="2014-10-26T18:00:00"/>
    <x v="1123"/>
    <x v="3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x v="0"/>
    <n v="6"/>
    <x v="1"/>
    <s v="theater/plays"/>
    <n v="8"/>
    <n v="10.17"/>
    <x v="1"/>
    <x v="6"/>
    <x v="3922"/>
    <d v="2015-03-02T23:00:00"/>
    <x v="1124"/>
    <x v="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x v="0"/>
    <n v="17"/>
    <x v="1"/>
    <s v="theater/plays"/>
    <n v="12"/>
    <n v="81.41"/>
    <x v="1"/>
    <x v="6"/>
    <x v="3923"/>
    <d v="2015-04-09T23:31:11"/>
    <x v="240"/>
    <x v="0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x v="0"/>
    <n v="40"/>
    <x v="1"/>
    <s v="theater/plays"/>
    <n v="15"/>
    <n v="57.25"/>
    <x v="1"/>
    <x v="6"/>
    <x v="3924"/>
    <d v="2014-06-26T23:02:02"/>
    <x v="1"/>
    <x v="3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x v="0"/>
    <n v="3"/>
    <x v="1"/>
    <s v="theater/plays"/>
    <n v="10"/>
    <n v="5"/>
    <x v="1"/>
    <x v="6"/>
    <x v="3925"/>
    <d v="2014-07-30T20:53:59"/>
    <x v="1"/>
    <x v="3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x v="0"/>
    <n v="1"/>
    <x v="1"/>
    <s v="theater/plays"/>
    <n v="0"/>
    <n v="15"/>
    <x v="1"/>
    <x v="6"/>
    <x v="3926"/>
    <d v="2014-12-27T02:02:28"/>
    <x v="1"/>
    <x v="3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x v="0"/>
    <n v="2"/>
    <x v="1"/>
    <s v="theater/plays"/>
    <n v="1"/>
    <n v="12.5"/>
    <x v="1"/>
    <x v="6"/>
    <x v="3927"/>
    <d v="2014-08-09T06:25:04"/>
    <x v="1"/>
    <x v="3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x v="0"/>
    <n v="7"/>
    <x v="1"/>
    <s v="theater/plays"/>
    <n v="13"/>
    <n v="93"/>
    <x v="1"/>
    <x v="6"/>
    <x v="3928"/>
    <d v="2015-10-16T04:59:00"/>
    <x v="379"/>
    <x v="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x v="0"/>
    <n v="14"/>
    <x v="1"/>
    <s v="theater/plays"/>
    <n v="2"/>
    <n v="32.36"/>
    <x v="1"/>
    <x v="6"/>
    <x v="3929"/>
    <d v="2016-09-18T19:51:05"/>
    <x v="1"/>
    <x v="2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x v="0"/>
    <n v="0"/>
    <x v="1"/>
    <s v="theater/plays"/>
    <n v="0"/>
    <n v="0"/>
    <x v="1"/>
    <x v="6"/>
    <x v="3930"/>
    <d v="2016-04-01T06:00:00"/>
    <x v="1000"/>
    <x v="2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x v="0"/>
    <n v="0"/>
    <x v="1"/>
    <s v="theater/plays"/>
    <n v="0"/>
    <n v="0"/>
    <x v="1"/>
    <x v="6"/>
    <x v="3931"/>
    <d v="2015-09-06T03:38:27"/>
    <x v="36"/>
    <x v="0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x v="0"/>
    <n v="1"/>
    <x v="1"/>
    <s v="theater/plays"/>
    <n v="0"/>
    <n v="1"/>
    <x v="1"/>
    <x v="6"/>
    <x v="3932"/>
    <d v="2016-03-16T03:02:44"/>
    <x v="22"/>
    <x v="2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x v="0"/>
    <n v="12"/>
    <x v="1"/>
    <s v="theater/plays"/>
    <n v="16"/>
    <n v="91.83"/>
    <x v="1"/>
    <x v="6"/>
    <x v="3933"/>
    <d v="2016-07-17T00:43:00"/>
    <x v="408"/>
    <x v="2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x v="0"/>
    <n v="12"/>
    <x v="1"/>
    <s v="theater/plays"/>
    <n v="11"/>
    <n v="45.83"/>
    <x v="1"/>
    <x v="6"/>
    <x v="3934"/>
    <d v="2015-10-01T13:00:00"/>
    <x v="1125"/>
    <x v="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x v="0"/>
    <n v="23"/>
    <x v="1"/>
    <s v="theater/plays"/>
    <n v="44"/>
    <n v="57.17"/>
    <x v="1"/>
    <x v="6"/>
    <x v="3935"/>
    <d v="2015-10-04T15:45:46"/>
    <x v="14"/>
    <x v="0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x v="0"/>
    <n v="0"/>
    <x v="1"/>
    <s v="theater/plays"/>
    <n v="0"/>
    <n v="0"/>
    <x v="1"/>
    <x v="6"/>
    <x v="3936"/>
    <d v="2016-12-01T07:18:40"/>
    <x v="13"/>
    <x v="2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x v="0"/>
    <n v="10"/>
    <x v="1"/>
    <s v="theater/plays"/>
    <n v="86"/>
    <n v="248.5"/>
    <x v="1"/>
    <x v="6"/>
    <x v="3937"/>
    <d v="2016-07-11T15:09:20"/>
    <x v="240"/>
    <x v="2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x v="0"/>
    <n v="5"/>
    <x v="1"/>
    <s v="theater/plays"/>
    <n v="12"/>
    <n v="79.400000000000006"/>
    <x v="1"/>
    <x v="6"/>
    <x v="3938"/>
    <d v="2015-06-27T21:44:14"/>
    <x v="102"/>
    <x v="0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x v="0"/>
    <n v="1"/>
    <x v="1"/>
    <s v="theater/plays"/>
    <n v="0"/>
    <n v="5"/>
    <x v="1"/>
    <x v="6"/>
    <x v="3939"/>
    <d v="2014-10-07T04:30:00"/>
    <x v="1126"/>
    <x v="3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x v="0"/>
    <n v="2"/>
    <x v="1"/>
    <s v="theater/plays"/>
    <n v="0"/>
    <n v="5.5"/>
    <x v="1"/>
    <x v="6"/>
    <x v="3940"/>
    <d v="2015-01-02T11:49:11"/>
    <x v="26"/>
    <x v="3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x v="0"/>
    <n v="2"/>
    <x v="1"/>
    <s v="theater/plays"/>
    <n v="1"/>
    <n v="25"/>
    <x v="1"/>
    <x v="6"/>
    <x v="3941"/>
    <d v="2014-11-25T01:00:00"/>
    <x v="1127"/>
    <x v="3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x v="0"/>
    <n v="0"/>
    <x v="1"/>
    <s v="theater/plays"/>
    <n v="0"/>
    <n v="0"/>
    <x v="1"/>
    <x v="6"/>
    <x v="3942"/>
    <d v="2015-06-16T21:41:54"/>
    <x v="14"/>
    <x v="0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x v="0"/>
    <n v="13"/>
    <x v="1"/>
    <s v="theater/plays"/>
    <n v="36"/>
    <n v="137.08000000000001"/>
    <x v="1"/>
    <x v="6"/>
    <x v="3943"/>
    <d v="2015-11-02T16:50:00"/>
    <x v="1128"/>
    <x v="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x v="0"/>
    <n v="0"/>
    <x v="1"/>
    <s v="theater/plays"/>
    <n v="0"/>
    <n v="0"/>
    <x v="1"/>
    <x v="6"/>
    <x v="3944"/>
    <d v="2015-08-27T15:54:35"/>
    <x v="1"/>
    <x v="0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x v="0"/>
    <n v="1"/>
    <x v="1"/>
    <s v="theater/plays"/>
    <n v="0"/>
    <n v="5"/>
    <x v="1"/>
    <x v="6"/>
    <x v="3945"/>
    <d v="2015-05-15T19:14:28"/>
    <x v="1"/>
    <x v="0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x v="0"/>
    <n v="5"/>
    <x v="1"/>
    <s v="theater/plays"/>
    <n v="3"/>
    <n v="39"/>
    <x v="1"/>
    <x v="6"/>
    <x v="3946"/>
    <d v="2015-02-28T08:00:00"/>
    <x v="883"/>
    <x v="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x v="0"/>
    <n v="2"/>
    <x v="1"/>
    <s v="theater/plays"/>
    <n v="3"/>
    <n v="50.5"/>
    <x v="1"/>
    <x v="6"/>
    <x v="3947"/>
    <d v="2016-10-02T03:25:44"/>
    <x v="1"/>
    <x v="2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x v="0"/>
    <n v="0"/>
    <x v="1"/>
    <s v="theater/plays"/>
    <n v="0"/>
    <n v="0"/>
    <x v="1"/>
    <x v="6"/>
    <x v="3948"/>
    <d v="2014-09-07T07:48:43"/>
    <x v="14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x v="0"/>
    <n v="32"/>
    <x v="1"/>
    <s v="theater/plays"/>
    <n v="16"/>
    <n v="49.28"/>
    <x v="1"/>
    <x v="6"/>
    <x v="3949"/>
    <d v="2015-02-11T02:53:41"/>
    <x v="1"/>
    <x v="0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x v="0"/>
    <n v="1"/>
    <x v="1"/>
    <s v="theater/plays"/>
    <n v="1"/>
    <n v="25"/>
    <x v="1"/>
    <x v="6"/>
    <x v="3950"/>
    <d v="2016-04-08T18:35:00"/>
    <x v="1129"/>
    <x v="2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x v="0"/>
    <n v="1"/>
    <x v="1"/>
    <s v="theater/plays"/>
    <n v="0"/>
    <n v="1"/>
    <x v="1"/>
    <x v="6"/>
    <x v="3951"/>
    <d v="2016-05-03T18:49:02"/>
    <x v="80"/>
    <x v="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x v="0"/>
    <n v="1"/>
    <x v="1"/>
    <s v="theater/plays"/>
    <n v="0"/>
    <n v="25"/>
    <x v="1"/>
    <x v="6"/>
    <x v="3952"/>
    <d v="2015-10-26T18:58:10"/>
    <x v="14"/>
    <x v="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x v="0"/>
    <n v="0"/>
    <x v="1"/>
    <s v="theater/plays"/>
    <n v="0"/>
    <n v="0"/>
    <x v="1"/>
    <x v="6"/>
    <x v="3953"/>
    <d v="2016-07-29T23:29:00"/>
    <x v="362"/>
    <x v="2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x v="0"/>
    <n v="0"/>
    <x v="1"/>
    <s v="theater/plays"/>
    <n v="0"/>
    <n v="0"/>
    <x v="1"/>
    <x v="6"/>
    <x v="3954"/>
    <d v="2014-07-14T15:37:44"/>
    <x v="14"/>
    <x v="3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x v="0"/>
    <n v="8"/>
    <x v="1"/>
    <s v="theater/plays"/>
    <n v="24"/>
    <n v="53.13"/>
    <x v="1"/>
    <x v="6"/>
    <x v="3955"/>
    <d v="2015-11-28T21:22:21"/>
    <x v="13"/>
    <x v="0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x v="0"/>
    <n v="0"/>
    <x v="1"/>
    <s v="theater/plays"/>
    <n v="0"/>
    <n v="0"/>
    <x v="1"/>
    <x v="6"/>
    <x v="3956"/>
    <d v="2016-04-25T00:20:00"/>
    <x v="1130"/>
    <x v="2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x v="0"/>
    <n v="1"/>
    <x v="1"/>
    <s v="theater/plays"/>
    <n v="0"/>
    <n v="7"/>
    <x v="1"/>
    <x v="6"/>
    <x v="3957"/>
    <d v="2016-07-08T23:25:54"/>
    <x v="256"/>
    <x v="2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x v="0"/>
    <n v="16"/>
    <x v="1"/>
    <s v="theater/plays"/>
    <n v="32"/>
    <n v="40.06"/>
    <x v="1"/>
    <x v="6"/>
    <x v="3958"/>
    <d v="2014-08-02T14:00:00"/>
    <x v="1131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x v="0"/>
    <n v="12"/>
    <x v="1"/>
    <s v="theater/plays"/>
    <n v="24"/>
    <n v="24.33"/>
    <x v="1"/>
    <x v="6"/>
    <x v="3959"/>
    <d v="2014-09-28T18:55:56"/>
    <x v="1"/>
    <x v="3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x v="0"/>
    <n v="4"/>
    <x v="1"/>
    <s v="theater/plays"/>
    <n v="2"/>
    <n v="11.25"/>
    <x v="1"/>
    <x v="6"/>
    <x v="3960"/>
    <d v="2016-01-03T20:17:36"/>
    <x v="1"/>
    <x v="0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x v="0"/>
    <n v="2"/>
    <x v="1"/>
    <s v="theater/plays"/>
    <n v="0"/>
    <n v="10.5"/>
    <x v="1"/>
    <x v="6"/>
    <x v="3961"/>
    <d v="2014-05-08T21:23:30"/>
    <x v="35"/>
    <x v="3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x v="0"/>
    <n v="3"/>
    <x v="1"/>
    <s v="theater/plays"/>
    <n v="3"/>
    <n v="15"/>
    <x v="1"/>
    <x v="6"/>
    <x v="3962"/>
    <d v="2015-11-28T14:54:54"/>
    <x v="36"/>
    <x v="0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x v="0"/>
    <n v="0"/>
    <x v="1"/>
    <s v="theater/plays"/>
    <n v="0"/>
    <n v="0"/>
    <x v="1"/>
    <x v="6"/>
    <x v="3963"/>
    <d v="2015-11-18T04:41:57"/>
    <x v="13"/>
    <x v="0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x v="0"/>
    <n v="3"/>
    <x v="1"/>
    <s v="theater/plays"/>
    <n v="6"/>
    <n v="42"/>
    <x v="1"/>
    <x v="6"/>
    <x v="3964"/>
    <d v="2015-04-19T16:19:46"/>
    <x v="80"/>
    <x v="0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x v="0"/>
    <n v="4"/>
    <x v="1"/>
    <s v="theater/plays"/>
    <n v="14"/>
    <n v="71.25"/>
    <x v="1"/>
    <x v="6"/>
    <x v="3965"/>
    <d v="2016-04-14T04:39:40"/>
    <x v="80"/>
    <x v="2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x v="0"/>
    <n v="2"/>
    <x v="1"/>
    <s v="theater/plays"/>
    <n v="1"/>
    <n v="22.5"/>
    <x v="1"/>
    <x v="6"/>
    <x v="3966"/>
    <d v="2014-07-24T02:59:00"/>
    <x v="534"/>
    <x v="3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x v="0"/>
    <n v="10"/>
    <x v="1"/>
    <s v="theater/plays"/>
    <n v="24"/>
    <n v="41"/>
    <x v="1"/>
    <x v="6"/>
    <x v="3967"/>
    <d v="2017-03-06T06:58:27"/>
    <x v="1"/>
    <x v="1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x v="0"/>
    <n v="11"/>
    <x v="1"/>
    <s v="theater/plays"/>
    <n v="11"/>
    <n v="47.91"/>
    <x v="1"/>
    <x v="6"/>
    <x v="3968"/>
    <d v="2016-05-22T19:34:33"/>
    <x v="14"/>
    <x v="2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x v="0"/>
    <n v="6"/>
    <x v="1"/>
    <s v="theater/plays"/>
    <n v="7"/>
    <n v="35.17"/>
    <x v="1"/>
    <x v="6"/>
    <x v="3969"/>
    <d v="2016-08-29T03:55:00"/>
    <x v="1132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x v="0"/>
    <n v="2"/>
    <x v="1"/>
    <s v="theater/plays"/>
    <n v="0"/>
    <n v="5.5"/>
    <x v="1"/>
    <x v="6"/>
    <x v="3970"/>
    <d v="2016-04-17T20:43:31"/>
    <x v="1"/>
    <x v="2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x v="0"/>
    <n v="6"/>
    <x v="1"/>
    <s v="theater/plays"/>
    <n v="1"/>
    <n v="22.67"/>
    <x v="1"/>
    <x v="6"/>
    <x v="3971"/>
    <d v="2014-07-21T12:52:06"/>
    <x v="1"/>
    <x v="3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x v="0"/>
    <n v="8"/>
    <x v="1"/>
    <s v="theater/plays"/>
    <n v="21"/>
    <n v="26.38"/>
    <x v="1"/>
    <x v="6"/>
    <x v="3972"/>
    <d v="2015-02-06T01:37:14"/>
    <x v="14"/>
    <x v="3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x v="0"/>
    <n v="37"/>
    <x v="1"/>
    <s v="theater/plays"/>
    <n v="78"/>
    <n v="105.54"/>
    <x v="1"/>
    <x v="6"/>
    <x v="3973"/>
    <d v="2016-05-09T04:00:00"/>
    <x v="263"/>
    <x v="2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x v="0"/>
    <n v="11"/>
    <x v="1"/>
    <s v="theater/plays"/>
    <n v="32"/>
    <n v="29.09"/>
    <x v="1"/>
    <x v="6"/>
    <x v="3974"/>
    <d v="2016-06-02T13:07:28"/>
    <x v="1"/>
    <x v="2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x v="0"/>
    <n v="0"/>
    <x v="1"/>
    <s v="theater/plays"/>
    <n v="0"/>
    <n v="0"/>
    <x v="1"/>
    <x v="6"/>
    <x v="3975"/>
    <d v="2016-07-13T20:48:18"/>
    <x v="1"/>
    <x v="2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x v="0"/>
    <n v="10"/>
    <x v="1"/>
    <s v="theater/plays"/>
    <n v="48"/>
    <n v="62"/>
    <x v="1"/>
    <x v="6"/>
    <x v="3976"/>
    <d v="2014-08-01T07:00:00"/>
    <x v="1133"/>
    <x v="3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x v="0"/>
    <n v="6"/>
    <x v="1"/>
    <s v="theater/plays"/>
    <n v="1"/>
    <n v="217.5"/>
    <x v="1"/>
    <x v="6"/>
    <x v="3977"/>
    <d v="2016-07-22T18:55:32"/>
    <x v="1"/>
    <x v="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x v="0"/>
    <n v="8"/>
    <x v="1"/>
    <s v="theater/plays"/>
    <n v="11"/>
    <n v="26.75"/>
    <x v="1"/>
    <x v="6"/>
    <x v="3978"/>
    <d v="2015-01-31T15:25:53"/>
    <x v="14"/>
    <x v="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x v="0"/>
    <n v="6"/>
    <x v="1"/>
    <s v="theater/plays"/>
    <n v="2"/>
    <n v="18.329999999999998"/>
    <x v="1"/>
    <x v="6"/>
    <x v="3979"/>
    <d v="2015-03-29T20:00:00"/>
    <x v="376"/>
    <x v="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x v="0"/>
    <n v="7"/>
    <x v="1"/>
    <s v="theater/plays"/>
    <n v="18"/>
    <n v="64.290000000000006"/>
    <x v="1"/>
    <x v="6"/>
    <x v="3980"/>
    <d v="2014-07-05T14:22:27"/>
    <x v="1"/>
    <x v="3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x v="0"/>
    <n v="7"/>
    <x v="1"/>
    <s v="theater/plays"/>
    <n v="4"/>
    <n v="175"/>
    <x v="1"/>
    <x v="6"/>
    <x v="3981"/>
    <d v="2016-07-17T04:19:09"/>
    <x v="14"/>
    <x v="2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x v="0"/>
    <n v="5"/>
    <x v="1"/>
    <s v="theater/plays"/>
    <n v="20"/>
    <n v="34"/>
    <x v="1"/>
    <x v="6"/>
    <x v="3982"/>
    <d v="2015-07-07T19:26:20"/>
    <x v="14"/>
    <x v="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x v="0"/>
    <n v="46"/>
    <x v="1"/>
    <s v="theater/plays"/>
    <n v="35"/>
    <n v="84.28"/>
    <x v="1"/>
    <x v="6"/>
    <x v="3983"/>
    <d v="2014-05-20T06:59:00"/>
    <x v="979"/>
    <x v="3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x v="0"/>
    <n v="10"/>
    <x v="1"/>
    <s v="theater/plays"/>
    <n v="6"/>
    <n v="9.5"/>
    <x v="1"/>
    <x v="6"/>
    <x v="3984"/>
    <d v="2014-11-08T00:00:00"/>
    <x v="13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x v="0"/>
    <n v="19"/>
    <x v="1"/>
    <s v="theater/plays"/>
    <n v="32"/>
    <n v="33.74"/>
    <x v="1"/>
    <x v="6"/>
    <x v="3985"/>
    <d v="2016-02-20T21:05:00"/>
    <x v="1134"/>
    <x v="2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x v="0"/>
    <n v="13"/>
    <x v="1"/>
    <s v="theater/plays"/>
    <n v="10"/>
    <n v="37.54"/>
    <x v="1"/>
    <x v="6"/>
    <x v="3986"/>
    <d v="2016-05-06T13:04:00"/>
    <x v="229"/>
    <x v="2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x v="0"/>
    <n v="13"/>
    <x v="1"/>
    <s v="theater/plays"/>
    <n v="38"/>
    <n v="11.62"/>
    <x v="1"/>
    <x v="6"/>
    <x v="3987"/>
    <d v="2014-05-16T22:11:30"/>
    <x v="2"/>
    <x v="3"/>
  </r>
  <r>
    <x v="3988"/>
    <s v="Folk-Tales: What Stories Do Your Folks Tell?"/>
    <s v="An evening of of stories based both in myth and truth."/>
    <x v="15"/>
    <x v="573"/>
    <x v="2"/>
    <x v="0"/>
    <s v="USD"/>
    <n v="1440813413"/>
    <x v="3988"/>
    <x v="0"/>
    <n v="4"/>
    <x v="1"/>
    <s v="theater/plays"/>
    <n v="2"/>
    <n v="8"/>
    <x v="1"/>
    <x v="6"/>
    <x v="3988"/>
    <d v="2015-08-29T01:56:53"/>
    <x v="20"/>
    <x v="0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x v="0"/>
    <n v="0"/>
    <x v="1"/>
    <s v="theater/plays"/>
    <n v="0"/>
    <n v="0"/>
    <x v="1"/>
    <x v="6"/>
    <x v="3989"/>
    <d v="2015-11-08T18:59:41"/>
    <x v="13"/>
    <x v="0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x v="0"/>
    <n v="3"/>
    <x v="1"/>
    <s v="theater/plays"/>
    <n v="4"/>
    <n v="23"/>
    <x v="1"/>
    <x v="6"/>
    <x v="3990"/>
    <d v="2016-03-02T16:08:13"/>
    <x v="1"/>
    <x v="2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x v="0"/>
    <n v="1"/>
    <x v="1"/>
    <s v="theater/plays"/>
    <n v="20"/>
    <n v="100"/>
    <x v="1"/>
    <x v="6"/>
    <x v="3991"/>
    <d v="2015-05-31T15:28:02"/>
    <x v="1"/>
    <x v="0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x v="0"/>
    <n v="9"/>
    <x v="1"/>
    <s v="theater/plays"/>
    <n v="5"/>
    <n v="60.11"/>
    <x v="1"/>
    <x v="6"/>
    <x v="3992"/>
    <d v="2015-12-11T23:34:19"/>
    <x v="27"/>
    <x v="0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x v="0"/>
    <n v="1"/>
    <x v="1"/>
    <s v="theater/plays"/>
    <n v="0"/>
    <n v="3"/>
    <x v="1"/>
    <x v="6"/>
    <x v="3993"/>
    <d v="2015-05-13T20:45:12"/>
    <x v="1"/>
    <x v="0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x v="0"/>
    <n v="1"/>
    <x v="1"/>
    <s v="theater/plays"/>
    <n v="0"/>
    <n v="5"/>
    <x v="1"/>
    <x v="6"/>
    <x v="3994"/>
    <d v="2014-07-19T09:21:30"/>
    <x v="1"/>
    <x v="3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x v="0"/>
    <n v="4"/>
    <x v="1"/>
    <s v="theater/plays"/>
    <n v="35"/>
    <n v="17.5"/>
    <x v="1"/>
    <x v="6"/>
    <x v="3995"/>
    <d v="2015-02-14T11:27:00"/>
    <x v="1135"/>
    <x v="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x v="0"/>
    <n v="17"/>
    <x v="1"/>
    <s v="theater/plays"/>
    <n v="17"/>
    <n v="29.24"/>
    <x v="1"/>
    <x v="6"/>
    <x v="3996"/>
    <d v="2014-11-20T16:04:00"/>
    <x v="1136"/>
    <x v="3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x v="0"/>
    <n v="0"/>
    <x v="1"/>
    <s v="theater/plays"/>
    <n v="0"/>
    <n v="0"/>
    <x v="1"/>
    <x v="6"/>
    <x v="3997"/>
    <d v="2015-04-05T08:23:41"/>
    <x v="22"/>
    <x v="0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x v="0"/>
    <n v="12"/>
    <x v="1"/>
    <s v="theater/plays"/>
    <n v="57"/>
    <n v="59.58"/>
    <x v="1"/>
    <x v="6"/>
    <x v="3998"/>
    <d v="2015-03-28T22:07:06"/>
    <x v="22"/>
    <x v="0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x v="0"/>
    <n v="14"/>
    <x v="1"/>
    <s v="theater/plays"/>
    <n v="17"/>
    <n v="82.57"/>
    <x v="1"/>
    <x v="6"/>
    <x v="3999"/>
    <d v="2014-08-31T19:51:49"/>
    <x v="4"/>
    <x v="3"/>
  </r>
  <r>
    <x v="4000"/>
    <s v="The Escorts"/>
    <s v="An Enticing Trip into the World of Assisted Dying"/>
    <x v="6"/>
    <x v="115"/>
    <x v="2"/>
    <x v="0"/>
    <s v="USD"/>
    <n v="1462631358"/>
    <x v="4000"/>
    <x v="0"/>
    <n v="1"/>
    <x v="1"/>
    <s v="theater/plays"/>
    <n v="0"/>
    <n v="10"/>
    <x v="1"/>
    <x v="6"/>
    <x v="4000"/>
    <d v="2016-05-07T14:29:18"/>
    <x v="80"/>
    <x v="2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x v="0"/>
    <n v="14"/>
    <x v="1"/>
    <s v="theater/plays"/>
    <n v="38"/>
    <n v="32.36"/>
    <x v="1"/>
    <x v="6"/>
    <x v="4001"/>
    <d v="2017-03-01T19:00:00"/>
    <x v="1137"/>
    <x v="1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x v="0"/>
    <n v="4"/>
    <x v="1"/>
    <s v="theater/plays"/>
    <n v="2"/>
    <n v="5.75"/>
    <x v="1"/>
    <x v="6"/>
    <x v="4002"/>
    <d v="2014-09-27T01:02:41"/>
    <x v="1"/>
    <x v="3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x v="0"/>
    <n v="2"/>
    <x v="1"/>
    <s v="theater/plays"/>
    <n v="10"/>
    <n v="100.5"/>
    <x v="1"/>
    <x v="6"/>
    <x v="4003"/>
    <d v="2015-02-15T14:05:47"/>
    <x v="1"/>
    <x v="0"/>
  </r>
  <r>
    <x v="4004"/>
    <s v="South Florida Tours"/>
    <s v="Help Launch The Queen Into South Florida!"/>
    <x v="2"/>
    <x v="116"/>
    <x v="2"/>
    <x v="0"/>
    <s v="USD"/>
    <n v="1412740457"/>
    <x v="4004"/>
    <x v="0"/>
    <n v="1"/>
    <x v="1"/>
    <s v="theater/plays"/>
    <n v="0"/>
    <n v="1"/>
    <x v="1"/>
    <x v="6"/>
    <x v="4004"/>
    <d v="2014-10-08T03:54:17"/>
    <x v="1"/>
    <x v="3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x v="0"/>
    <n v="2"/>
    <x v="1"/>
    <s v="theater/plays"/>
    <n v="1"/>
    <n v="20"/>
    <x v="1"/>
    <x v="6"/>
    <x v="4005"/>
    <d v="2014-10-20T19:23:05"/>
    <x v="14"/>
    <x v="3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x v="0"/>
    <n v="1"/>
    <x v="1"/>
    <s v="theater/plays"/>
    <n v="0"/>
    <n v="2"/>
    <x v="1"/>
    <x v="6"/>
    <x v="4006"/>
    <d v="2016-02-16T18:33:07"/>
    <x v="36"/>
    <x v="2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x v="0"/>
    <n v="1"/>
    <x v="1"/>
    <s v="theater/plays"/>
    <n v="0"/>
    <n v="5"/>
    <x v="1"/>
    <x v="6"/>
    <x v="4007"/>
    <d v="2014-08-26T16:28:00"/>
    <x v="713"/>
    <x v="3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x v="0"/>
    <n v="4"/>
    <x v="1"/>
    <s v="theater/plays"/>
    <n v="6"/>
    <n v="15"/>
    <x v="1"/>
    <x v="6"/>
    <x v="4008"/>
    <d v="2015-07-22T23:08:27"/>
    <x v="1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x v="0"/>
    <n v="3"/>
    <x v="1"/>
    <s v="theater/plays"/>
    <n v="4"/>
    <n v="25"/>
    <x v="1"/>
    <x v="6"/>
    <x v="4009"/>
    <d v="2014-09-09T16:49:20"/>
    <x v="4"/>
    <x v="3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x v="0"/>
    <n v="38"/>
    <x v="1"/>
    <s v="theater/plays"/>
    <n v="24"/>
    <n v="45.84"/>
    <x v="1"/>
    <x v="6"/>
    <x v="4010"/>
    <d v="2014-10-26T18:29:26"/>
    <x v="549"/>
    <x v="3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x v="0"/>
    <n v="4"/>
    <x v="1"/>
    <s v="theater/plays"/>
    <n v="8"/>
    <n v="4.75"/>
    <x v="1"/>
    <x v="6"/>
    <x v="4011"/>
    <d v="2015-01-28T13:04:38"/>
    <x v="1"/>
    <x v="3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x v="0"/>
    <n v="0"/>
    <x v="1"/>
    <s v="theater/plays"/>
    <n v="0"/>
    <n v="0"/>
    <x v="1"/>
    <x v="6"/>
    <x v="4012"/>
    <d v="2015-05-02T13:04:09"/>
    <x v="1"/>
    <x v="0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x v="0"/>
    <n v="2"/>
    <x v="1"/>
    <s v="theater/plays"/>
    <n v="1"/>
    <n v="13"/>
    <x v="1"/>
    <x v="6"/>
    <x v="4013"/>
    <d v="2015-02-16T07:13:43"/>
    <x v="1"/>
    <x v="0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x v="0"/>
    <n v="0"/>
    <x v="1"/>
    <s v="theater/plays"/>
    <n v="0"/>
    <n v="0"/>
    <x v="1"/>
    <x v="6"/>
    <x v="4014"/>
    <d v="2016-03-05T05:54:29"/>
    <x v="20"/>
    <x v="2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x v="0"/>
    <n v="1"/>
    <x v="1"/>
    <s v="theater/plays"/>
    <n v="0"/>
    <n v="1"/>
    <x v="1"/>
    <x v="6"/>
    <x v="4015"/>
    <d v="2015-07-19T18:44:23"/>
    <x v="1"/>
    <x v="0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x v="0"/>
    <n v="7"/>
    <x v="1"/>
    <s v="theater/plays"/>
    <n v="14"/>
    <n v="10"/>
    <x v="1"/>
    <x v="6"/>
    <x v="4016"/>
    <d v="2014-09-17T20:56:40"/>
    <x v="1"/>
    <x v="3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x v="0"/>
    <n v="2"/>
    <x v="1"/>
    <s v="theater/plays"/>
    <n v="1"/>
    <n v="52.5"/>
    <x v="1"/>
    <x v="6"/>
    <x v="4017"/>
    <d v="2014-09-04T16:07:54"/>
    <x v="1"/>
    <x v="3"/>
  </r>
  <r>
    <x v="4018"/>
    <s v="Time Please Fringe"/>
    <s v="Funding for a production of Time Please at the Brighton Fringe 2017... and beyond."/>
    <x v="15"/>
    <x v="176"/>
    <x v="2"/>
    <x v="1"/>
    <s v="GBP"/>
    <n v="1475877108"/>
    <x v="4018"/>
    <x v="0"/>
    <n v="4"/>
    <x v="1"/>
    <s v="theater/plays"/>
    <n v="9"/>
    <n v="32.5"/>
    <x v="1"/>
    <x v="6"/>
    <x v="4018"/>
    <d v="2016-10-07T21:51:48"/>
    <x v="1"/>
    <x v="2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x v="0"/>
    <n v="4"/>
    <x v="1"/>
    <s v="theater/plays"/>
    <n v="1"/>
    <n v="7.25"/>
    <x v="1"/>
    <x v="6"/>
    <x v="4019"/>
    <d v="2016-04-15T16:28:00"/>
    <x v="1138"/>
    <x v="2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x v="0"/>
    <n v="3"/>
    <x v="1"/>
    <s v="theater/plays"/>
    <n v="17"/>
    <n v="33.33"/>
    <x v="1"/>
    <x v="6"/>
    <x v="4020"/>
    <d v="2015-03-24T03:34:59"/>
    <x v="22"/>
    <x v="0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x v="0"/>
    <n v="2"/>
    <x v="1"/>
    <s v="theater/plays"/>
    <n v="1"/>
    <n v="62.5"/>
    <x v="1"/>
    <x v="6"/>
    <x v="4021"/>
    <d v="2014-10-26T21:52:38"/>
    <x v="14"/>
    <x v="3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x v="0"/>
    <n v="197"/>
    <x v="1"/>
    <s v="theater/plays"/>
    <n v="70"/>
    <n v="63.56"/>
    <x v="1"/>
    <x v="6"/>
    <x v="4022"/>
    <d v="2015-02-01T02:54:00"/>
    <x v="1139"/>
    <x v="3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x v="0"/>
    <n v="0"/>
    <x v="1"/>
    <s v="theater/plays"/>
    <n v="0"/>
    <n v="0"/>
    <x v="1"/>
    <x v="6"/>
    <x v="4023"/>
    <d v="2016-03-24T22:59:23"/>
    <x v="129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x v="0"/>
    <n v="1"/>
    <x v="1"/>
    <s v="theater/plays"/>
    <n v="1"/>
    <n v="10"/>
    <x v="1"/>
    <x v="6"/>
    <x v="4024"/>
    <d v="2015-08-31T16:04:57"/>
    <x v="1"/>
    <x v="0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x v="0"/>
    <n v="4"/>
    <x v="1"/>
    <s v="theater/plays"/>
    <n v="5"/>
    <n v="62.5"/>
    <x v="1"/>
    <x v="6"/>
    <x v="4025"/>
    <d v="2015-07-26T05:42:16"/>
    <x v="14"/>
    <x v="0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x v="0"/>
    <n v="0"/>
    <x v="1"/>
    <s v="theater/plays"/>
    <n v="0"/>
    <n v="0"/>
    <x v="1"/>
    <x v="6"/>
    <x v="4026"/>
    <d v="2015-12-04T16:43:59"/>
    <x v="27"/>
    <x v="0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x v="0"/>
    <n v="7"/>
    <x v="1"/>
    <s v="theater/plays"/>
    <n v="7"/>
    <n v="30.71"/>
    <x v="1"/>
    <x v="6"/>
    <x v="4027"/>
    <d v="2017-02-23T01:00:00"/>
    <x v="1140"/>
    <x v="1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x v="0"/>
    <n v="11"/>
    <x v="1"/>
    <s v="theater/plays"/>
    <n v="28"/>
    <n v="51"/>
    <x v="1"/>
    <x v="6"/>
    <x v="4028"/>
    <d v="2014-06-05T22:31:40"/>
    <x v="1"/>
    <x v="3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x v="0"/>
    <n v="0"/>
    <x v="1"/>
    <s v="theater/plays"/>
    <n v="0"/>
    <n v="0"/>
    <x v="1"/>
    <x v="6"/>
    <x v="4029"/>
    <d v="2015-12-14T00:36:10"/>
    <x v="1"/>
    <x v="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x v="0"/>
    <n v="6"/>
    <x v="1"/>
    <s v="theater/plays"/>
    <n v="16"/>
    <n v="66.67"/>
    <x v="1"/>
    <x v="6"/>
    <x v="4030"/>
    <d v="2016-02-03T18:49:00"/>
    <x v="1141"/>
    <x v="2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x v="0"/>
    <n v="0"/>
    <x v="1"/>
    <s v="theater/plays"/>
    <n v="0"/>
    <n v="0"/>
    <x v="1"/>
    <x v="6"/>
    <x v="4031"/>
    <d v="2014-12-18T15:02:44"/>
    <x v="111"/>
    <x v="3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x v="0"/>
    <n v="7"/>
    <x v="1"/>
    <s v="theater/plays"/>
    <n v="7"/>
    <n v="59"/>
    <x v="1"/>
    <x v="6"/>
    <x v="4032"/>
    <d v="2015-12-15T20:25:16"/>
    <x v="27"/>
    <x v="0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x v="0"/>
    <n v="94"/>
    <x v="1"/>
    <s v="theater/plays"/>
    <n v="26"/>
    <n v="65.34"/>
    <x v="1"/>
    <x v="6"/>
    <x v="4033"/>
    <d v="2016-10-02T09:00:00"/>
    <x v="606"/>
    <x v="2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x v="0"/>
    <n v="2"/>
    <x v="1"/>
    <s v="theater/plays"/>
    <n v="1"/>
    <n v="100"/>
    <x v="1"/>
    <x v="6"/>
    <x v="4034"/>
    <d v="2015-04-03T21:44:10"/>
    <x v="22"/>
    <x v="0"/>
  </r>
  <r>
    <x v="4035"/>
    <s v="The Lost Boy"/>
    <s v="&quot;Stories are where you go to look for the truth of your own life.&quot; (Frank Delaney)"/>
    <x v="3"/>
    <x v="2534"/>
    <x v="2"/>
    <x v="0"/>
    <s v="USD"/>
    <n v="1413925887"/>
    <x v="4035"/>
    <x v="0"/>
    <n v="25"/>
    <x v="1"/>
    <s v="theater/plays"/>
    <n v="37"/>
    <n v="147.4"/>
    <x v="1"/>
    <x v="6"/>
    <x v="4035"/>
    <d v="2014-10-21T21:11:27"/>
    <x v="1"/>
    <x v="3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x v="0"/>
    <n v="17"/>
    <x v="1"/>
    <s v="theater/plays"/>
    <n v="47"/>
    <n v="166.06"/>
    <x v="1"/>
    <x v="6"/>
    <x v="4036"/>
    <d v="2014-07-01T22:30:00"/>
    <x v="549"/>
    <x v="3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x v="0"/>
    <n v="2"/>
    <x v="1"/>
    <s v="theater/plays"/>
    <n v="11"/>
    <n v="40"/>
    <x v="1"/>
    <x v="6"/>
    <x v="4037"/>
    <d v="2016-05-24T14:25:00"/>
    <x v="1142"/>
    <x v="2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x v="0"/>
    <n v="4"/>
    <x v="1"/>
    <s v="theater/plays"/>
    <n v="12"/>
    <n v="75.25"/>
    <x v="1"/>
    <x v="6"/>
    <x v="4038"/>
    <d v="2014-10-17T19:10:10"/>
    <x v="14"/>
    <x v="3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x v="0"/>
    <n v="5"/>
    <x v="1"/>
    <s v="theater/plays"/>
    <n v="60"/>
    <n v="60"/>
    <x v="1"/>
    <x v="6"/>
    <x v="4039"/>
    <d v="2015-12-01T05:59:00"/>
    <x v="1143"/>
    <x v="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x v="0"/>
    <n v="2"/>
    <x v="1"/>
    <s v="theater/plays"/>
    <n v="31"/>
    <n v="1250"/>
    <x v="1"/>
    <x v="6"/>
    <x v="4040"/>
    <d v="2015-07-18T03:00:00"/>
    <x v="455"/>
    <x v="0"/>
  </r>
  <r>
    <x v="4041"/>
    <s v="In the Land of Gold"/>
    <s v="A bold, colouful, vibrant play centred around the last remaining monarchy of Africa."/>
    <x v="10"/>
    <x v="577"/>
    <x v="2"/>
    <x v="1"/>
    <s v="GBP"/>
    <n v="1473160954"/>
    <x v="4041"/>
    <x v="0"/>
    <n v="2"/>
    <x v="1"/>
    <s v="theater/plays"/>
    <n v="0"/>
    <n v="10.5"/>
    <x v="1"/>
    <x v="6"/>
    <x v="4041"/>
    <d v="2016-09-06T11:22:34"/>
    <x v="14"/>
    <x v="2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x v="0"/>
    <n v="3"/>
    <x v="1"/>
    <s v="theater/plays"/>
    <n v="0"/>
    <n v="7"/>
    <x v="1"/>
    <x v="6"/>
    <x v="4042"/>
    <d v="2015-01-20T19:16:00"/>
    <x v="1144"/>
    <x v="3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x v="0"/>
    <n v="0"/>
    <x v="1"/>
    <s v="theater/plays"/>
    <n v="0"/>
    <n v="0"/>
    <x v="1"/>
    <x v="6"/>
    <x v="4043"/>
    <d v="2014-11-20T22:58:45"/>
    <x v="20"/>
    <x v="3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x v="0"/>
    <n v="4"/>
    <x v="1"/>
    <s v="theater/plays"/>
    <n v="38"/>
    <n v="56.25"/>
    <x v="1"/>
    <x v="6"/>
    <x v="4044"/>
    <d v="2015-04-10T05:00:00"/>
    <x v="99"/>
    <x v="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x v="0"/>
    <n v="1"/>
    <x v="1"/>
    <s v="theater/plays"/>
    <n v="0"/>
    <n v="1"/>
    <x v="1"/>
    <x v="6"/>
    <x v="4045"/>
    <d v="2014-08-21T04:49:49"/>
    <x v="1"/>
    <x v="3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x v="0"/>
    <n v="12"/>
    <x v="1"/>
    <s v="theater/plays"/>
    <n v="8"/>
    <n v="38.33"/>
    <x v="1"/>
    <x v="6"/>
    <x v="4046"/>
    <d v="2014-10-22T15:36:50"/>
    <x v="1"/>
    <x v="3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x v="0"/>
    <n v="4"/>
    <x v="1"/>
    <s v="theater/plays"/>
    <n v="2"/>
    <n v="27.5"/>
    <x v="1"/>
    <x v="6"/>
    <x v="4047"/>
    <d v="2015-01-11T01:00:00"/>
    <x v="476"/>
    <x v="3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x v="0"/>
    <n v="91"/>
    <x v="1"/>
    <s v="theater/plays"/>
    <n v="18"/>
    <n v="32.979999999999997"/>
    <x v="1"/>
    <x v="6"/>
    <x v="4048"/>
    <d v="2016-04-11T11:13:07"/>
    <x v="89"/>
    <x v="2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x v="0"/>
    <n v="1"/>
    <x v="1"/>
    <s v="theater/plays"/>
    <n v="0"/>
    <n v="16"/>
    <x v="1"/>
    <x v="6"/>
    <x v="4049"/>
    <d v="2015-07-14T23:00:15"/>
    <x v="1"/>
    <x v="0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x v="0"/>
    <n v="1"/>
    <x v="1"/>
    <s v="theater/plays"/>
    <n v="0"/>
    <n v="1"/>
    <x v="1"/>
    <x v="6"/>
    <x v="4050"/>
    <d v="2014-10-23T15:16:31"/>
    <x v="1"/>
    <x v="3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x v="0"/>
    <n v="0"/>
    <x v="1"/>
    <s v="theater/plays"/>
    <n v="0"/>
    <n v="0"/>
    <x v="1"/>
    <x v="6"/>
    <x v="4051"/>
    <d v="2014-05-09T06:53:00"/>
    <x v="1145"/>
    <x v="3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x v="0"/>
    <n v="13"/>
    <x v="1"/>
    <s v="theater/plays"/>
    <n v="38"/>
    <n v="86.62"/>
    <x v="1"/>
    <x v="6"/>
    <x v="4052"/>
    <d v="2014-10-13T21:05:16"/>
    <x v="14"/>
    <x v="3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x v="0"/>
    <n v="2"/>
    <x v="1"/>
    <s v="theater/plays"/>
    <n v="22"/>
    <n v="55"/>
    <x v="1"/>
    <x v="6"/>
    <x v="4053"/>
    <d v="2014-11-15T20:00:00"/>
    <x v="404"/>
    <x v="3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x v="0"/>
    <n v="0"/>
    <x v="1"/>
    <s v="theater/plays"/>
    <n v="0"/>
    <n v="0"/>
    <x v="1"/>
    <x v="6"/>
    <x v="4054"/>
    <d v="2016-10-01T04:00:00"/>
    <x v="665"/>
    <x v="2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x v="0"/>
    <n v="21"/>
    <x v="1"/>
    <s v="theater/plays"/>
    <n v="18"/>
    <n v="41.95"/>
    <x v="1"/>
    <x v="6"/>
    <x v="4055"/>
    <d v="2014-06-19T15:33:51"/>
    <x v="1"/>
    <x v="3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x v="0"/>
    <n v="9"/>
    <x v="1"/>
    <s v="theater/plays"/>
    <n v="53"/>
    <n v="88.33"/>
    <x v="1"/>
    <x v="6"/>
    <x v="4056"/>
    <d v="2016-07-03T19:59:00"/>
    <x v="1146"/>
    <x v="2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x v="0"/>
    <n v="6"/>
    <x v="1"/>
    <s v="theater/plays"/>
    <n v="22"/>
    <n v="129.16999999999999"/>
    <x v="1"/>
    <x v="6"/>
    <x v="4057"/>
    <d v="2015-11-25T23:00:00"/>
    <x v="1147"/>
    <x v="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x v="0"/>
    <n v="4"/>
    <x v="1"/>
    <s v="theater/plays"/>
    <n v="3"/>
    <n v="23.75"/>
    <x v="1"/>
    <x v="6"/>
    <x v="4058"/>
    <d v="2016-04-01T03:59:00"/>
    <x v="1148"/>
    <x v="2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x v="0"/>
    <n v="7"/>
    <x v="1"/>
    <s v="theater/plays"/>
    <n v="3"/>
    <n v="35.71"/>
    <x v="1"/>
    <x v="6"/>
    <x v="4059"/>
    <d v="2014-09-16T03:00:00"/>
    <x v="313"/>
    <x v="3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x v="0"/>
    <n v="5"/>
    <x v="1"/>
    <s v="theater/plays"/>
    <n v="3"/>
    <n v="57"/>
    <x v="1"/>
    <x v="6"/>
    <x v="4060"/>
    <d v="2014-06-23T16:00:00"/>
    <x v="1149"/>
    <x v="3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x v="0"/>
    <n v="0"/>
    <x v="1"/>
    <s v="theater/plays"/>
    <n v="0"/>
    <n v="0"/>
    <x v="1"/>
    <x v="6"/>
    <x v="4061"/>
    <d v="2016-04-21T02:23:43"/>
    <x v="80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x v="0"/>
    <n v="3"/>
    <x v="1"/>
    <s v="theater/plays"/>
    <n v="2"/>
    <n v="163.33000000000001"/>
    <x v="1"/>
    <x v="6"/>
    <x v="4062"/>
    <d v="2016-07-02T17:44:28"/>
    <x v="1"/>
    <x v="2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x v="0"/>
    <n v="9"/>
    <x v="1"/>
    <s v="theater/plays"/>
    <n v="1"/>
    <n v="15"/>
    <x v="1"/>
    <x v="6"/>
    <x v="4063"/>
    <d v="2014-06-27T16:21:24"/>
    <x v="1"/>
    <x v="3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x v="0"/>
    <n v="6"/>
    <x v="1"/>
    <s v="theater/plays"/>
    <n v="19"/>
    <n v="64.17"/>
    <x v="1"/>
    <x v="6"/>
    <x v="4064"/>
    <d v="2015-04-29T14:07:06"/>
    <x v="1"/>
    <x v="0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x v="0"/>
    <n v="4"/>
    <x v="1"/>
    <s v="theater/plays"/>
    <n v="1"/>
    <n v="6.75"/>
    <x v="1"/>
    <x v="6"/>
    <x v="4065"/>
    <d v="2014-08-12T22:50:11"/>
    <x v="1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x v="0"/>
    <n v="1"/>
    <x v="1"/>
    <s v="theater/plays"/>
    <n v="0"/>
    <n v="25"/>
    <x v="1"/>
    <x v="6"/>
    <x v="4066"/>
    <d v="2016-05-19T00:56:28"/>
    <x v="1"/>
    <x v="2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x v="0"/>
    <n v="17"/>
    <x v="1"/>
    <s v="theater/plays"/>
    <n v="61"/>
    <n v="179.12"/>
    <x v="1"/>
    <x v="6"/>
    <x v="4067"/>
    <d v="2015-09-28T02:49:10"/>
    <x v="4"/>
    <x v="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x v="0"/>
    <n v="1"/>
    <x v="1"/>
    <s v="theater/plays"/>
    <n v="1"/>
    <n v="34.950000000000003"/>
    <x v="1"/>
    <x v="6"/>
    <x v="4068"/>
    <d v="2017-01-13T23:05:00"/>
    <x v="1"/>
    <x v="2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x v="0"/>
    <n v="13"/>
    <x v="1"/>
    <s v="theater/plays"/>
    <n v="34"/>
    <n v="33.08"/>
    <x v="1"/>
    <x v="6"/>
    <x v="4069"/>
    <d v="2015-02-28T12:00:00"/>
    <x v="1150"/>
    <x v="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x v="0"/>
    <n v="6"/>
    <x v="1"/>
    <s v="theater/plays"/>
    <n v="17"/>
    <n v="27.5"/>
    <x v="1"/>
    <x v="6"/>
    <x v="4070"/>
    <d v="2015-03-01T03:00:00"/>
    <x v="1151"/>
    <x v="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x v="0"/>
    <n v="0"/>
    <x v="1"/>
    <s v="theater/plays"/>
    <n v="0"/>
    <n v="0"/>
    <x v="1"/>
    <x v="6"/>
    <x v="4071"/>
    <d v="2016-12-26T19:18:51"/>
    <x v="1"/>
    <x v="2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x v="0"/>
    <n v="2"/>
    <x v="1"/>
    <s v="theater/plays"/>
    <n v="0"/>
    <n v="2"/>
    <x v="1"/>
    <x v="6"/>
    <x v="4072"/>
    <d v="2014-08-21T18:35:11"/>
    <x v="14"/>
    <x v="3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x v="0"/>
    <n v="2"/>
    <x v="1"/>
    <s v="theater/plays"/>
    <n v="1"/>
    <n v="18.5"/>
    <x v="1"/>
    <x v="6"/>
    <x v="4073"/>
    <d v="2015-05-09T04:00:00"/>
    <x v="1152"/>
    <x v="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x v="0"/>
    <n v="21"/>
    <x v="1"/>
    <s v="theater/plays"/>
    <n v="27"/>
    <n v="35"/>
    <x v="1"/>
    <x v="6"/>
    <x v="4074"/>
    <d v="2015-11-05T14:16:15"/>
    <x v="13"/>
    <x v="0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x v="0"/>
    <n v="13"/>
    <x v="1"/>
    <s v="theater/plays"/>
    <n v="29"/>
    <n v="44.31"/>
    <x v="1"/>
    <x v="6"/>
    <x v="4075"/>
    <d v="2014-06-30T17:28:00"/>
    <x v="1153"/>
    <x v="3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x v="0"/>
    <n v="0"/>
    <x v="1"/>
    <s v="theater/plays"/>
    <n v="0"/>
    <n v="0"/>
    <x v="1"/>
    <x v="6"/>
    <x v="4076"/>
    <d v="2014-10-21T19:51:00"/>
    <x v="1154"/>
    <x v="3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x v="0"/>
    <n v="6"/>
    <x v="1"/>
    <s v="theater/plays"/>
    <n v="9"/>
    <n v="222.5"/>
    <x v="1"/>
    <x v="6"/>
    <x v="4077"/>
    <d v="2016-12-21T17:03:14"/>
    <x v="1"/>
    <x v="2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x v="0"/>
    <n v="0"/>
    <x v="1"/>
    <s v="theater/plays"/>
    <n v="0"/>
    <n v="0"/>
    <x v="1"/>
    <x v="6"/>
    <x v="4078"/>
    <d v="2017-01-27T18:54:02"/>
    <x v="1"/>
    <x v="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x v="0"/>
    <n v="1"/>
    <x v="1"/>
    <s v="theater/plays"/>
    <n v="0"/>
    <n v="5"/>
    <x v="1"/>
    <x v="6"/>
    <x v="4079"/>
    <d v="2016-06-19T22:32:01"/>
    <x v="1"/>
    <x v="2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x v="0"/>
    <n v="0"/>
    <x v="1"/>
    <s v="theater/plays"/>
    <n v="0"/>
    <n v="0"/>
    <x v="1"/>
    <x v="6"/>
    <x v="4080"/>
    <d v="2016-06-14T18:54:00"/>
    <x v="1005"/>
    <x v="2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x v="0"/>
    <n v="12"/>
    <x v="1"/>
    <s v="theater/plays"/>
    <n v="16"/>
    <n v="29.17"/>
    <x v="1"/>
    <x v="6"/>
    <x v="4081"/>
    <d v="2015-03-08T12:57:05"/>
    <x v="22"/>
    <x v="0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x v="0"/>
    <n v="2"/>
    <x v="1"/>
    <s v="theater/plays"/>
    <n v="2"/>
    <n v="1.5"/>
    <x v="1"/>
    <x v="6"/>
    <x v="4082"/>
    <d v="2015-11-14T23:00:00"/>
    <x v="1155"/>
    <x v="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x v="0"/>
    <n v="6"/>
    <x v="1"/>
    <s v="theater/plays"/>
    <n v="22"/>
    <n v="126.5"/>
    <x v="1"/>
    <x v="6"/>
    <x v="4083"/>
    <d v="2016-01-14T18:16:56"/>
    <x v="1"/>
    <x v="0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x v="0"/>
    <n v="1"/>
    <x v="1"/>
    <s v="theater/plays"/>
    <n v="0"/>
    <n v="10"/>
    <x v="1"/>
    <x v="6"/>
    <x v="4084"/>
    <d v="2016-10-09T10:28:26"/>
    <x v="1"/>
    <x v="2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x v="0"/>
    <n v="1"/>
    <x v="1"/>
    <s v="theater/plays"/>
    <n v="0"/>
    <n v="10"/>
    <x v="1"/>
    <x v="6"/>
    <x v="4085"/>
    <d v="2015-03-24T03:59:00"/>
    <x v="1156"/>
    <x v="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x v="0"/>
    <n v="5"/>
    <x v="1"/>
    <s v="theater/plays"/>
    <n v="5"/>
    <n v="9.4"/>
    <x v="1"/>
    <x v="6"/>
    <x v="4086"/>
    <d v="2015-11-21T04:00:00"/>
    <x v="1157"/>
    <x v="0"/>
  </r>
  <r>
    <x v="4087"/>
    <s v="Stage Production &quot;The Nail Shop&quot;"/>
    <s v="Comedy Stage Play"/>
    <x v="376"/>
    <x v="117"/>
    <x v="2"/>
    <x v="0"/>
    <s v="USD"/>
    <n v="1468777786"/>
    <x v="4087"/>
    <x v="0"/>
    <n v="0"/>
    <x v="1"/>
    <s v="theater/plays"/>
    <n v="0"/>
    <n v="0"/>
    <x v="1"/>
    <x v="6"/>
    <x v="4087"/>
    <d v="2016-07-17T17:49:46"/>
    <x v="1"/>
    <x v="2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x v="0"/>
    <n v="3"/>
    <x v="1"/>
    <s v="theater/plays"/>
    <n v="11"/>
    <n v="72"/>
    <x v="1"/>
    <x v="6"/>
    <x v="4088"/>
    <d v="2015-01-16T10:26:00"/>
    <x v="1158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x v="0"/>
    <n v="8"/>
    <x v="1"/>
    <s v="theater/plays"/>
    <n v="5"/>
    <n v="30"/>
    <x v="1"/>
    <x v="6"/>
    <x v="4089"/>
    <d v="2015-05-31T17:35:00"/>
    <x v="17"/>
    <x v="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x v="0"/>
    <n v="3"/>
    <x v="1"/>
    <s v="theater/plays"/>
    <n v="3"/>
    <n v="10.67"/>
    <x v="1"/>
    <x v="6"/>
    <x v="4090"/>
    <d v="2015-08-07T15:00:00"/>
    <x v="1159"/>
    <x v="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x v="0"/>
    <n v="8"/>
    <x v="1"/>
    <s v="theater/plays"/>
    <n v="13"/>
    <n v="25.5"/>
    <x v="1"/>
    <x v="6"/>
    <x v="4091"/>
    <d v="2015-01-16T12:09:11"/>
    <x v="1"/>
    <x v="3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x v="0"/>
    <n v="1"/>
    <x v="1"/>
    <s v="theater/plays"/>
    <n v="0"/>
    <n v="20"/>
    <x v="1"/>
    <x v="6"/>
    <x v="4092"/>
    <d v="2015-04-05T03:40:47"/>
    <x v="80"/>
    <x v="0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x v="0"/>
    <n v="4"/>
    <x v="1"/>
    <s v="theater/plays"/>
    <n v="2"/>
    <n v="15"/>
    <x v="1"/>
    <x v="6"/>
    <x v="4093"/>
    <d v="2015-08-22T19:34:53"/>
    <x v="14"/>
    <x v="0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x v="0"/>
    <n v="8"/>
    <x v="1"/>
    <s v="theater/plays"/>
    <n v="37"/>
    <n v="91.25"/>
    <x v="1"/>
    <x v="6"/>
    <x v="4094"/>
    <d v="2014-10-22T04:59:00"/>
    <x v="1160"/>
    <x v="3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x v="0"/>
    <n v="1"/>
    <x v="1"/>
    <s v="theater/plays"/>
    <n v="3"/>
    <n v="800"/>
    <x v="1"/>
    <x v="6"/>
    <x v="4095"/>
    <d v="2016-12-19T00:45:50"/>
    <x v="1"/>
    <x v="2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x v="0"/>
    <n v="5"/>
    <x v="1"/>
    <s v="theater/plays"/>
    <n v="11"/>
    <n v="80"/>
    <x v="1"/>
    <x v="6"/>
    <x v="4096"/>
    <d v="2017-02-28T08:51:00"/>
    <x v="1161"/>
    <x v="1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x v="0"/>
    <n v="0"/>
    <x v="1"/>
    <s v="theater/plays"/>
    <n v="0"/>
    <n v="0"/>
    <x v="1"/>
    <x v="6"/>
    <x v="4097"/>
    <d v="2016-01-31T23:55:00"/>
    <x v="1162"/>
    <x v="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x v="0"/>
    <n v="0"/>
    <x v="1"/>
    <s v="theater/plays"/>
    <n v="0"/>
    <n v="0"/>
    <x v="1"/>
    <x v="6"/>
    <x v="4098"/>
    <d v="2016-06-04T17:19:57"/>
    <x v="1"/>
    <x v="2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x v="0"/>
    <n v="1"/>
    <x v="1"/>
    <s v="theater/plays"/>
    <n v="1"/>
    <n v="50"/>
    <x v="1"/>
    <x v="6"/>
    <x v="4099"/>
    <d v="2016-09-02T20:24:33"/>
    <x v="26"/>
    <x v="2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x v="0"/>
    <n v="0"/>
    <x v="1"/>
    <s v="theater/plays"/>
    <n v="0"/>
    <n v="0"/>
    <x v="1"/>
    <x v="6"/>
    <x v="4100"/>
    <d v="2014-10-25T02:59:50"/>
    <x v="2"/>
    <x v="3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x v="0"/>
    <n v="0"/>
    <x v="1"/>
    <s v="theater/plays"/>
    <n v="0"/>
    <n v="0"/>
    <x v="1"/>
    <x v="6"/>
    <x v="4101"/>
    <d v="2017-01-25T21:41:22"/>
    <x v="1"/>
    <x v="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x v="0"/>
    <n v="6"/>
    <x v="1"/>
    <s v="theater/plays"/>
    <n v="27"/>
    <n v="22.83"/>
    <x v="1"/>
    <x v="6"/>
    <x v="4102"/>
    <d v="2016-05-15T20:21:13"/>
    <x v="1"/>
    <x v="2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x v="0"/>
    <n v="6"/>
    <x v="1"/>
    <s v="theater/plays"/>
    <n v="10"/>
    <n v="16.670000000000002"/>
    <x v="1"/>
    <x v="6"/>
    <x v="4103"/>
    <d v="2015-08-26T18:32:00"/>
    <x v="1163"/>
    <x v="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x v="0"/>
    <n v="14"/>
    <x v="1"/>
    <s v="theater/plays"/>
    <n v="21"/>
    <n v="45.79"/>
    <x v="1"/>
    <x v="6"/>
    <x v="4104"/>
    <d v="2016-10-27T06:40:34"/>
    <x v="1"/>
    <x v="2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x v="0"/>
    <n v="6"/>
    <x v="1"/>
    <s v="theater/plays"/>
    <n v="7"/>
    <n v="383.33"/>
    <x v="1"/>
    <x v="6"/>
    <x v="4105"/>
    <d v="2016-12-26T00:15:09"/>
    <x v="17"/>
    <x v="2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x v="0"/>
    <n v="33"/>
    <x v="1"/>
    <s v="theater/plays"/>
    <n v="71"/>
    <n v="106.97"/>
    <x v="1"/>
    <x v="6"/>
    <x v="4106"/>
    <d v="2015-04-02T01:00:00"/>
    <x v="82"/>
    <x v="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x v="0"/>
    <n v="4"/>
    <x v="1"/>
    <s v="theater/plays"/>
    <n v="2"/>
    <n v="10.25"/>
    <x v="1"/>
    <x v="6"/>
    <x v="4107"/>
    <d v="2014-09-24T22:00:01"/>
    <x v="56"/>
    <x v="3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x v="0"/>
    <n v="1"/>
    <x v="1"/>
    <s v="theater/plays"/>
    <n v="2"/>
    <n v="59"/>
    <x v="1"/>
    <x v="6"/>
    <x v="4108"/>
    <d v="2017-03-03T05:00:00"/>
    <x v="301"/>
    <x v="1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x v="0"/>
    <n v="0"/>
    <x v="1"/>
    <s v="theater/plays"/>
    <n v="0"/>
    <n v="0"/>
    <x v="1"/>
    <x v="6"/>
    <x v="4109"/>
    <d v="2015-11-29T13:56:44"/>
    <x v="13"/>
    <x v="0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x v="0"/>
    <n v="6"/>
    <x v="1"/>
    <s v="theater/plays"/>
    <n v="29"/>
    <n v="14.33"/>
    <x v="1"/>
    <x v="6"/>
    <x v="4110"/>
    <d v="2016-07-21T15:02:31"/>
    <x v="14"/>
    <x v="2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x v="0"/>
    <n v="6"/>
    <x v="1"/>
    <s v="theater/plays"/>
    <n v="3"/>
    <n v="15.67"/>
    <x v="1"/>
    <x v="6"/>
    <x v="4111"/>
    <d v="2015-02-24T03:15:40"/>
    <x v="1"/>
    <x v="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x v="0"/>
    <n v="1"/>
    <x v="1"/>
    <s v="theater/plays"/>
    <n v="0"/>
    <n v="1"/>
    <x v="1"/>
    <x v="6"/>
    <x v="4112"/>
    <d v="2016-02-28T00:00:00"/>
    <x v="842"/>
    <x v="2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x v="0"/>
    <n v="3"/>
    <x v="1"/>
    <s v="theater/plays"/>
    <n v="0"/>
    <n v="1"/>
    <x v="1"/>
    <x v="6"/>
    <x v="4113"/>
    <d v="2016-01-08T06:34:00"/>
    <x v="1164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E85C2-D71D-40FE-81CB-B9EABA1272B2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6" firstHeaderRow="1" firstDataRow="2" firstDataCol="1" rowPageCount="1" colPageCount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166">
        <item x="1111"/>
        <item x="811"/>
        <item x="916"/>
        <item x="646"/>
        <item x="1126"/>
        <item x="43"/>
        <item x="841"/>
        <item x="806"/>
        <item x="858"/>
        <item x="709"/>
        <item x="1022"/>
        <item x="673"/>
        <item x="1145"/>
        <item x="5"/>
        <item x="354"/>
        <item x="809"/>
        <item x="1114"/>
        <item x="807"/>
        <item x="282"/>
        <item x="62"/>
        <item x="384"/>
        <item x="783"/>
        <item x="856"/>
        <item x="340"/>
        <item x="966"/>
        <item x="954"/>
        <item x="798"/>
        <item x="1054"/>
        <item x="1012"/>
        <item x="283"/>
        <item x="484"/>
        <item x="1132"/>
        <item x="867"/>
        <item x="950"/>
        <item x="46"/>
        <item x="827"/>
        <item x="1068"/>
        <item x="2"/>
        <item x="716"/>
        <item x="406"/>
        <item x="1037"/>
        <item x="663"/>
        <item x="917"/>
        <item x="951"/>
        <item x="929"/>
        <item x="1100"/>
        <item x="999"/>
        <item x="1043"/>
        <item x="981"/>
        <item x="299"/>
        <item x="186"/>
        <item x="987"/>
        <item x="658"/>
        <item x="813"/>
        <item x="516"/>
        <item x="771"/>
        <item x="1098"/>
        <item x="542"/>
        <item x="674"/>
        <item x="982"/>
        <item x="1123"/>
        <item x="526"/>
        <item x="790"/>
        <item x="1049"/>
        <item x="633"/>
        <item x="977"/>
        <item x="215"/>
        <item x="820"/>
        <item x="289"/>
        <item x="360"/>
        <item x="431"/>
        <item x="991"/>
        <item x="400"/>
        <item x="581"/>
        <item x="963"/>
        <item x="989"/>
        <item x="1136"/>
        <item x="631"/>
        <item x="1046"/>
        <item x="928"/>
        <item x="823"/>
        <item x="524"/>
        <item x="912"/>
        <item x="714"/>
        <item x="496"/>
        <item x="187"/>
        <item x="361"/>
        <item x="832"/>
        <item x="1159"/>
        <item x="649"/>
        <item x="59"/>
        <item x="944"/>
        <item x="915"/>
        <item x="932"/>
        <item x="32"/>
        <item x="652"/>
        <item x="1078"/>
        <item x="636"/>
        <item x="295"/>
        <item x="741"/>
        <item x="922"/>
        <item x="986"/>
        <item x="812"/>
        <item x="30"/>
        <item x="850"/>
        <item x="1024"/>
        <item x="998"/>
        <item x="445"/>
        <item x="1107"/>
        <item x="1052"/>
        <item x="1021"/>
        <item x="600"/>
        <item x="411"/>
        <item x="44"/>
        <item x="555"/>
        <item x="139"/>
        <item x="824"/>
        <item x="815"/>
        <item x="573"/>
        <item x="20"/>
        <item x="280"/>
        <item x="614"/>
        <item x="473"/>
        <item x="1148"/>
        <item x="70"/>
        <item x="632"/>
        <item x="580"/>
        <item x="387"/>
        <item x="630"/>
        <item x="15"/>
        <item x="834"/>
        <item x="268"/>
        <item x="231"/>
        <item x="1002"/>
        <item x="66"/>
        <item x="1155"/>
        <item x="971"/>
        <item x="903"/>
        <item x="184"/>
        <item x="407"/>
        <item x="585"/>
        <item x="377"/>
        <item x="778"/>
        <item x="900"/>
        <item x="568"/>
        <item x="717"/>
        <item x="985"/>
        <item x="3"/>
        <item x="992"/>
        <item x="779"/>
        <item x="1094"/>
        <item x="960"/>
        <item x="677"/>
        <item x="863"/>
        <item x="446"/>
        <item x="1064"/>
        <item x="90"/>
        <item x="549"/>
        <item x="750"/>
        <item x="274"/>
        <item x="293"/>
        <item x="678"/>
        <item x="908"/>
        <item x="259"/>
        <item x="939"/>
        <item x="830"/>
        <item x="849"/>
        <item x="1142"/>
        <item x="1028"/>
        <item x="252"/>
        <item x="1033"/>
        <item x="931"/>
        <item x="976"/>
        <item x="18"/>
        <item x="364"/>
        <item x="953"/>
        <item x="1011"/>
        <item x="565"/>
        <item x="255"/>
        <item x="267"/>
        <item x="131"/>
        <item x="58"/>
        <item x="156"/>
        <item x="682"/>
        <item x="724"/>
        <item x="1104"/>
        <item x="11"/>
        <item x="419"/>
        <item x="896"/>
        <item x="725"/>
        <item x="1095"/>
        <item x="1164"/>
        <item x="366"/>
        <item x="933"/>
        <item x="684"/>
        <item x="857"/>
        <item x="956"/>
        <item x="34"/>
        <item x="551"/>
        <item x="777"/>
        <item x="1077"/>
        <item x="828"/>
        <item x="367"/>
        <item x="218"/>
        <item x="109"/>
        <item x="251"/>
        <item x="128"/>
        <item x="1137"/>
        <item x="1146"/>
        <item x="24"/>
        <item x="138"/>
        <item x="40"/>
        <item x="51"/>
        <item x="54"/>
        <item x="681"/>
        <item x="1140"/>
        <item x="556"/>
        <item x="1121"/>
        <item x="545"/>
        <item x="519"/>
        <item x="1001"/>
        <item x="108"/>
        <item x="770"/>
        <item x="468"/>
        <item x="698"/>
        <item x="1047"/>
        <item x="1050"/>
        <item x="669"/>
        <item x="1079"/>
        <item x="920"/>
        <item x="936"/>
        <item x="994"/>
        <item x="433"/>
        <item x="287"/>
        <item x="209"/>
        <item x="948"/>
        <item x="31"/>
        <item x="974"/>
        <item x="1110"/>
        <item x="78"/>
        <item x="438"/>
        <item x="707"/>
        <item x="696"/>
        <item x="911"/>
        <item x="1061"/>
        <item x="961"/>
        <item x="909"/>
        <item x="1134"/>
        <item x="210"/>
        <item x="1059"/>
        <item x="889"/>
        <item x="759"/>
        <item x="1044"/>
        <item x="324"/>
        <item x="1133"/>
        <item x="194"/>
        <item x="211"/>
        <item x="864"/>
        <item x="1004"/>
        <item x="478"/>
        <item x="930"/>
        <item x="897"/>
        <item x="924"/>
        <item x="955"/>
        <item x="795"/>
        <item x="164"/>
        <item x="934"/>
        <item x="420"/>
        <item x="1071"/>
        <item x="35"/>
        <item x="871"/>
        <item x="723"/>
        <item x="278"/>
        <item x="578"/>
        <item x="1018"/>
        <item x="162"/>
        <item x="664"/>
        <item x="780"/>
        <item x="528"/>
        <item x="1042"/>
        <item x="598"/>
        <item x="569"/>
        <item x="302"/>
        <item x="421"/>
        <item x="346"/>
        <item x="386"/>
        <item x="749"/>
        <item x="447"/>
        <item x="726"/>
        <item x="660"/>
        <item x="968"/>
        <item x="964"/>
        <item x="662"/>
        <item x="720"/>
        <item x="1070"/>
        <item x="703"/>
        <item x="990"/>
        <item x="341"/>
        <item x="376"/>
        <item x="869"/>
        <item x="947"/>
        <item x="794"/>
        <item x="1103"/>
        <item x="1147"/>
        <item x="56"/>
        <item x="220"/>
        <item x="469"/>
        <item x="988"/>
        <item x="1045"/>
        <item x="1039"/>
        <item x="200"/>
        <item x="37"/>
        <item x="57"/>
        <item x="899"/>
        <item x="540"/>
        <item x="398"/>
        <item x="399"/>
        <item x="923"/>
        <item x="967"/>
        <item x="891"/>
        <item x="150"/>
        <item x="21"/>
        <item x="937"/>
        <item x="224"/>
        <item x="895"/>
        <item x="802"/>
        <item x="514"/>
        <item x="804"/>
        <item x="55"/>
        <item x="476"/>
        <item x="61"/>
        <item x="94"/>
        <item x="865"/>
        <item x="1005"/>
        <item x="464"/>
        <item x="938"/>
        <item x="1157"/>
        <item x="788"/>
        <item x="785"/>
        <item x="1031"/>
        <item x="170"/>
        <item x="680"/>
        <item x="940"/>
        <item x="559"/>
        <item x="731"/>
        <item x="185"/>
        <item x="337"/>
        <item x="892"/>
        <item x="191"/>
        <item x="474"/>
        <item x="957"/>
        <item x="36"/>
        <item x="334"/>
        <item x="574"/>
        <item x="691"/>
        <item x="943"/>
        <item x="254"/>
        <item x="679"/>
        <item x="347"/>
        <item x="775"/>
        <item x="308"/>
        <item x="311"/>
        <item x="958"/>
        <item x="687"/>
        <item x="10"/>
        <item x="789"/>
        <item x="995"/>
        <item x="1060"/>
        <item x="962"/>
        <item x="978"/>
        <item x="1105"/>
        <item x="47"/>
        <item x="424"/>
        <item x="273"/>
        <item x="1020"/>
        <item x="667"/>
        <item x="905"/>
        <item x="288"/>
        <item x="877"/>
        <item x="38"/>
        <item x="1015"/>
        <item x="796"/>
        <item x="840"/>
        <item x="746"/>
        <item x="1072"/>
        <item x="1101"/>
        <item x="876"/>
        <item x="198"/>
        <item x="945"/>
        <item x="16"/>
        <item x="969"/>
        <item x="357"/>
        <item x="81"/>
        <item x="842"/>
        <item x="579"/>
        <item x="1130"/>
        <item x="148"/>
        <item x="975"/>
        <item x="403"/>
        <item x="504"/>
        <item x="949"/>
        <item x="918"/>
        <item x="835"/>
        <item x="748"/>
        <item x="492"/>
        <item x="1041"/>
        <item x="601"/>
        <item x="870"/>
        <item x="965"/>
        <item x="1127"/>
        <item x="833"/>
        <item x="656"/>
        <item x="379"/>
        <item x="571"/>
        <item x="913"/>
        <item x="996"/>
        <item x="453"/>
        <item x="1065"/>
        <item x="1000"/>
        <item x="543"/>
        <item x="69"/>
        <item x="786"/>
        <item x="296"/>
        <item x="753"/>
        <item x="1084"/>
        <item x="831"/>
        <item x="240"/>
        <item x="146"/>
        <item x="50"/>
        <item x="1154"/>
        <item x="577"/>
        <item x="575"/>
        <item x="654"/>
        <item x="666"/>
        <item x="188"/>
        <item x="836"/>
        <item x="458"/>
        <item x="683"/>
        <item x="791"/>
        <item x="702"/>
        <item x="893"/>
        <item x="764"/>
        <item x="1122"/>
        <item x="95"/>
        <item x="550"/>
        <item x="774"/>
        <item x="765"/>
        <item x="452"/>
        <item x="808"/>
        <item x="1006"/>
        <item x="825"/>
        <item x="837"/>
        <item x="970"/>
        <item x="745"/>
        <item x="440"/>
        <item x="395"/>
        <item x="817"/>
        <item x="1156"/>
        <item x="500"/>
        <item x="734"/>
        <item x="1083"/>
        <item x="872"/>
        <item x="829"/>
        <item x="161"/>
        <item x="481"/>
        <item x="560"/>
        <item x="713"/>
        <item x="589"/>
        <item x="562"/>
        <item x="799"/>
        <item x="845"/>
        <item x="229"/>
        <item x="408"/>
        <item x="1129"/>
        <item x="561"/>
        <item x="466"/>
        <item x="616"/>
        <item x="207"/>
        <item x="1141"/>
        <item x="98"/>
        <item x="1074"/>
        <item x="531"/>
        <item x="848"/>
        <item x="122"/>
        <item x="88"/>
        <item x="599"/>
        <item x="412"/>
        <item x="417"/>
        <item x="792"/>
        <item x="180"/>
        <item x="237"/>
        <item x="538"/>
        <item x="942"/>
        <item x="843"/>
        <item x="144"/>
        <item x="456"/>
        <item x="330"/>
        <item x="874"/>
        <item x="263"/>
        <item x="618"/>
        <item x="772"/>
        <item x="319"/>
        <item x="512"/>
        <item x="339"/>
        <item x="228"/>
        <item x="816"/>
        <item x="610"/>
        <item x="776"/>
        <item x="1093"/>
        <item x="435"/>
        <item x="1144"/>
        <item x="1055"/>
        <item x="613"/>
        <item x="338"/>
        <item x="1135"/>
        <item x="73"/>
        <item x="1158"/>
        <item x="648"/>
        <item x="65"/>
        <item x="530"/>
        <item x="72"/>
        <item x="450"/>
        <item x="803"/>
        <item x="97"/>
        <item x="22"/>
        <item x="428"/>
        <item x="533"/>
        <item x="99"/>
        <item x="1"/>
        <item x="93"/>
        <item x="13"/>
        <item x="1038"/>
        <item x="351"/>
        <item x="758"/>
        <item x="623"/>
        <item x="515"/>
        <item x="880"/>
        <item x="457"/>
        <item x="116"/>
        <item x="404"/>
        <item x="83"/>
        <item x="762"/>
        <item x="301"/>
        <item x="507"/>
        <item x="784"/>
        <item x="25"/>
        <item x="149"/>
        <item x="1026"/>
        <item x="980"/>
        <item x="766"/>
        <item x="853"/>
        <item x="462"/>
        <item x="436"/>
        <item x="166"/>
        <item x="430"/>
        <item x="665"/>
        <item x="248"/>
        <item x="584"/>
        <item x="284"/>
        <item x="157"/>
        <item x="174"/>
        <item x="257"/>
        <item x="380"/>
        <item x="208"/>
        <item x="68"/>
        <item x="178"/>
        <item x="697"/>
        <item x="626"/>
        <item x="172"/>
        <item x="372"/>
        <item x="479"/>
        <item x="253"/>
        <item x="645"/>
        <item x="177"/>
        <item x="356"/>
        <item x="1008"/>
        <item x="363"/>
        <item x="506"/>
        <item x="728"/>
        <item x="226"/>
        <item x="397"/>
        <item x="1075"/>
        <item x="655"/>
        <item x="192"/>
        <item x="898"/>
        <item x="1066"/>
        <item x="536"/>
        <item x="130"/>
        <item x="23"/>
        <item x="1128"/>
        <item x="362"/>
        <item x="77"/>
        <item x="760"/>
        <item x="566"/>
        <item x="28"/>
        <item x="222"/>
        <item x="102"/>
        <item x="401"/>
        <item x="730"/>
        <item x="160"/>
        <item x="388"/>
        <item x="959"/>
        <item x="1102"/>
        <item x="735"/>
        <item x="606"/>
        <item x="0"/>
        <item x="907"/>
        <item x="886"/>
        <item x="316"/>
        <item x="271"/>
        <item x="154"/>
        <item x="332"/>
        <item x="501"/>
        <item x="460"/>
        <item x="701"/>
        <item x="423"/>
        <item x="818"/>
        <item x="887"/>
        <item x="692"/>
        <item x="901"/>
        <item x="7"/>
        <item x="1014"/>
        <item x="247"/>
        <item x="979"/>
        <item x="625"/>
        <item x="472"/>
        <item x="313"/>
        <item x="535"/>
        <item x="883"/>
        <item x="752"/>
        <item x="694"/>
        <item x="314"/>
        <item x="851"/>
        <item x="1035"/>
        <item x="1062"/>
        <item x="195"/>
        <item x="33"/>
        <item x="151"/>
        <item x="230"/>
        <item x="593"/>
        <item x="708"/>
        <item x="736"/>
        <item x="805"/>
        <item x="787"/>
        <item x="873"/>
        <item x="539"/>
        <item x="370"/>
        <item x="1023"/>
        <item x="345"/>
        <item x="173"/>
        <item x="541"/>
        <item x="103"/>
        <item x="1007"/>
        <item x="114"/>
        <item x="546"/>
        <item x="183"/>
        <item x="355"/>
        <item x="39"/>
        <item x="328"/>
        <item x="768"/>
        <item x="392"/>
        <item x="548"/>
        <item x="368"/>
        <item x="497"/>
        <item x="463"/>
        <item x="668"/>
        <item x="378"/>
        <item x="643"/>
        <item x="132"/>
        <item x="297"/>
        <item x="485"/>
        <item x="1151"/>
        <item x="1086"/>
        <item x="443"/>
        <item x="591"/>
        <item x="234"/>
        <item x="1081"/>
        <item x="914"/>
        <item x="1025"/>
        <item x="375"/>
        <item x="564"/>
        <item x="511"/>
        <item x="86"/>
        <item x="919"/>
        <item x="1027"/>
        <item x="737"/>
        <item x="894"/>
        <item x="17"/>
        <item x="1036"/>
        <item x="190"/>
        <item x="245"/>
        <item x="596"/>
        <item x="369"/>
        <item x="875"/>
        <item x="277"/>
        <item x="489"/>
        <item x="241"/>
        <item x="890"/>
        <item x="821"/>
        <item x="335"/>
        <item x="142"/>
        <item x="661"/>
        <item x="246"/>
        <item x="442"/>
        <item x="552"/>
        <item x="498"/>
        <item x="74"/>
        <item x="689"/>
        <item x="236"/>
        <item x="491"/>
        <item x="1143"/>
        <item x="605"/>
        <item x="1051"/>
        <item x="553"/>
        <item x="235"/>
        <item x="147"/>
        <item x="510"/>
        <item x="1089"/>
        <item x="125"/>
        <item x="425"/>
        <item x="861"/>
        <item x="342"/>
        <item x="1149"/>
        <item x="711"/>
        <item x="322"/>
        <item x="513"/>
        <item x="87"/>
        <item x="902"/>
        <item x="181"/>
        <item x="629"/>
        <item x="993"/>
        <item x="688"/>
        <item x="608"/>
        <item x="381"/>
        <item x="686"/>
        <item x="261"/>
        <item x="1048"/>
        <item x="285"/>
        <item x="1097"/>
        <item x="755"/>
        <item x="60"/>
        <item x="124"/>
        <item x="676"/>
        <item x="906"/>
        <item x="171"/>
        <item x="318"/>
        <item x="292"/>
        <item x="413"/>
        <item x="653"/>
        <item x="416"/>
        <item x="429"/>
        <item x="710"/>
        <item x="732"/>
        <item x="89"/>
        <item x="641"/>
        <item x="6"/>
        <item x="675"/>
        <item x="145"/>
        <item x="651"/>
        <item x="1112"/>
        <item x="197"/>
        <item x="1010"/>
        <item x="647"/>
        <item x="925"/>
        <item x="563"/>
        <item x="331"/>
        <item x="617"/>
        <item x="134"/>
        <item x="276"/>
        <item x="306"/>
        <item x="373"/>
        <item x="409"/>
        <item x="672"/>
        <item x="570"/>
        <item x="133"/>
        <item x="389"/>
        <item x="238"/>
        <item x="838"/>
        <item x="751"/>
        <item x="1082"/>
        <item x="529"/>
        <item x="175"/>
        <item x="232"/>
        <item x="935"/>
        <item x="604"/>
        <item x="286"/>
        <item x="67"/>
        <item x="621"/>
        <item x="9"/>
        <item x="53"/>
        <item x="782"/>
        <item x="671"/>
        <item x="1092"/>
        <item x="459"/>
        <item x="582"/>
        <item x="467"/>
        <item x="627"/>
        <item x="650"/>
        <item x="859"/>
        <item x="217"/>
        <item x="112"/>
        <item x="1131"/>
        <item x="402"/>
        <item x="434"/>
        <item x="763"/>
        <item x="597"/>
        <item x="532"/>
        <item x="607"/>
        <item x="747"/>
        <item x="1056"/>
        <item x="223"/>
        <item x="1003"/>
        <item x="329"/>
        <item x="127"/>
        <item x="941"/>
        <item x="521"/>
        <item x="926"/>
        <item x="756"/>
        <item x="242"/>
        <item x="884"/>
        <item x="847"/>
        <item x="557"/>
        <item x="537"/>
        <item x="583"/>
        <item x="852"/>
        <item x="587"/>
        <item x="454"/>
        <item x="1057"/>
        <item x="885"/>
        <item x="262"/>
        <item x="1119"/>
        <item x="1080"/>
        <item x="609"/>
        <item x="972"/>
        <item x="910"/>
        <item x="793"/>
        <item x="303"/>
        <item x="327"/>
        <item x="1016"/>
        <item x="1069"/>
        <item x="493"/>
        <item x="159"/>
        <item x="153"/>
        <item x="554"/>
        <item x="266"/>
        <item x="639"/>
        <item x="315"/>
        <item x="499"/>
        <item x="294"/>
        <item x="594"/>
        <item x="1091"/>
        <item x="586"/>
        <item x="729"/>
        <item x="1058"/>
        <item x="29"/>
        <item x="137"/>
        <item x="321"/>
        <item x="754"/>
        <item x="405"/>
        <item x="264"/>
        <item x="213"/>
        <item x="620"/>
        <item x="744"/>
        <item x="642"/>
        <item x="619"/>
        <item x="704"/>
        <item x="814"/>
        <item x="1108"/>
        <item x="167"/>
        <item x="712"/>
        <item x="91"/>
        <item x="136"/>
        <item x="110"/>
        <item x="4"/>
        <item x="182"/>
        <item x="1073"/>
        <item x="168"/>
        <item x="742"/>
        <item x="475"/>
        <item x="1116"/>
        <item x="358"/>
        <item x="700"/>
        <item x="670"/>
        <item x="576"/>
        <item x="214"/>
        <item x="946"/>
        <item x="432"/>
        <item x="1150"/>
        <item x="1034"/>
        <item x="973"/>
        <item x="199"/>
        <item x="624"/>
        <item x="862"/>
        <item x="352"/>
        <item x="140"/>
        <item x="592"/>
        <item x="104"/>
        <item x="488"/>
        <item x="517"/>
        <item x="1106"/>
        <item x="690"/>
        <item x="797"/>
        <item x="19"/>
        <item x="1115"/>
        <item x="119"/>
        <item x="152"/>
        <item x="1153"/>
        <item x="169"/>
        <item x="244"/>
        <item x="249"/>
        <item x="325"/>
        <item x="317"/>
        <item x="202"/>
        <item x="757"/>
        <item x="96"/>
        <item x="84"/>
        <item x="1009"/>
        <item x="451"/>
        <item x="1118"/>
        <item x="176"/>
        <item x="534"/>
        <item x="270"/>
        <item x="239"/>
        <item x="483"/>
        <item x="291"/>
        <item x="348"/>
        <item x="100"/>
        <item x="769"/>
        <item x="502"/>
        <item x="868"/>
        <item x="781"/>
        <item x="761"/>
        <item x="427"/>
        <item x="82"/>
        <item x="85"/>
        <item x="494"/>
        <item x="952"/>
        <item x="743"/>
        <item x="1032"/>
        <item x="1085"/>
        <item x="844"/>
        <item x="520"/>
        <item x="320"/>
        <item x="1161"/>
        <item x="572"/>
        <item x="603"/>
        <item x="75"/>
        <item x="350"/>
        <item x="1160"/>
        <item x="158"/>
        <item x="482"/>
        <item x="904"/>
        <item x="163"/>
        <item x="503"/>
        <item x="8"/>
        <item x="141"/>
        <item x="374"/>
        <item x="216"/>
        <item x="1053"/>
        <item x="426"/>
        <item x="206"/>
        <item x="1117"/>
        <item x="1125"/>
        <item x="129"/>
        <item x="879"/>
        <item x="26"/>
        <item x="193"/>
        <item x="71"/>
        <item x="165"/>
        <item x="1124"/>
        <item x="343"/>
        <item x="212"/>
        <item x="1017"/>
        <item x="312"/>
        <item x="612"/>
        <item x="12"/>
        <item x="567"/>
        <item x="1139"/>
        <item x="117"/>
        <item x="518"/>
        <item x="63"/>
        <item x="225"/>
        <item x="309"/>
        <item x="256"/>
        <item x="1013"/>
        <item x="1113"/>
        <item x="326"/>
        <item x="595"/>
        <item x="49"/>
        <item x="272"/>
        <item x="722"/>
        <item x="1040"/>
        <item x="1090"/>
        <item x="508"/>
        <item x="590"/>
        <item x="558"/>
        <item x="179"/>
        <item x="383"/>
        <item x="882"/>
        <item x="888"/>
        <item x="640"/>
        <item x="437"/>
        <item x="719"/>
        <item x="638"/>
        <item x="854"/>
        <item x="628"/>
        <item x="739"/>
        <item x="106"/>
        <item x="706"/>
        <item x="547"/>
        <item x="391"/>
        <item x="461"/>
        <item x="822"/>
        <item x="465"/>
        <item x="773"/>
        <item x="1109"/>
        <item x="394"/>
        <item x="118"/>
        <item x="101"/>
        <item x="76"/>
        <item x="111"/>
        <item x="382"/>
        <item x="260"/>
        <item x="275"/>
        <item x="505"/>
        <item x="121"/>
        <item x="1029"/>
        <item x="1088"/>
        <item x="250"/>
        <item x="860"/>
        <item x="644"/>
        <item x="846"/>
        <item x="718"/>
        <item x="727"/>
        <item x="415"/>
        <item x="695"/>
        <item x="310"/>
        <item x="740"/>
        <item x="323"/>
        <item x="410"/>
        <item x="279"/>
        <item x="336"/>
        <item x="107"/>
        <item x="42"/>
        <item x="201"/>
        <item x="486"/>
        <item x="1076"/>
        <item x="490"/>
        <item x="281"/>
        <item x="637"/>
        <item x="1163"/>
        <item x="615"/>
        <item x="588"/>
        <item x="344"/>
        <item x="333"/>
        <item x="984"/>
        <item x="855"/>
        <item x="365"/>
        <item x="523"/>
        <item x="1152"/>
        <item x="439"/>
        <item x="203"/>
        <item x="233"/>
        <item x="243"/>
        <item x="1099"/>
        <item x="611"/>
        <item x="1087"/>
        <item x="269"/>
        <item x="221"/>
        <item x="878"/>
        <item x="422"/>
        <item x="721"/>
        <item x="699"/>
        <item x="1162"/>
        <item x="495"/>
        <item x="155"/>
        <item x="522"/>
        <item x="733"/>
        <item x="390"/>
        <item x="349"/>
        <item x="927"/>
        <item x="477"/>
        <item x="79"/>
        <item x="92"/>
        <item x="1019"/>
        <item x="1063"/>
        <item x="997"/>
        <item x="265"/>
        <item x="767"/>
        <item x="659"/>
        <item x="622"/>
        <item x="705"/>
        <item x="1138"/>
        <item x="441"/>
        <item x="819"/>
        <item x="105"/>
        <item x="881"/>
        <item x="448"/>
        <item x="1030"/>
        <item x="414"/>
        <item x="385"/>
        <item x="455"/>
        <item x="921"/>
        <item x="449"/>
        <item x="527"/>
        <item x="219"/>
        <item x="204"/>
        <item x="470"/>
        <item x="1096"/>
        <item x="826"/>
        <item x="738"/>
        <item x="657"/>
        <item x="305"/>
        <item x="810"/>
        <item x="135"/>
        <item x="300"/>
        <item x="444"/>
        <item x="525"/>
        <item x="205"/>
        <item x="359"/>
        <item x="544"/>
        <item x="227"/>
        <item x="290"/>
        <item x="487"/>
        <item x="983"/>
        <item x="353"/>
        <item x="1067"/>
        <item x="801"/>
        <item x="509"/>
        <item x="800"/>
        <item x="1120"/>
        <item x="298"/>
        <item x="80"/>
        <item x="480"/>
        <item x="196"/>
        <item x="14"/>
        <item x="371"/>
        <item x="27"/>
        <item x="304"/>
        <item x="123"/>
        <item x="258"/>
        <item x="48"/>
        <item x="418"/>
        <item x="635"/>
        <item x="115"/>
        <item x="602"/>
        <item x="52"/>
        <item x="634"/>
        <item x="393"/>
        <item x="471"/>
        <item x="715"/>
        <item x="189"/>
        <item x="45"/>
        <item x="839"/>
        <item x="693"/>
        <item x="41"/>
        <item x="685"/>
        <item x="113"/>
        <item x="126"/>
        <item x="120"/>
        <item x="307"/>
        <item x="143"/>
        <item x="866"/>
        <item x="64"/>
        <item x="396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0">
      <pivotArea outline="0" collapsedLevelsAreSubtotals="1" fieldPosition="0"/>
    </format>
  </formats>
  <chartFormats count="7">
    <chartFormat chart="0" format="6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DE11D-27EA-4786-B88F-1F270FC2FE7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11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item="8" hier="-1"/>
    <pageField fld="12" hier="-1"/>
  </pageFields>
  <dataFields count="1">
    <dataField name="Count of outcomes" fld="5" subtotal="count" showDataAs="percentOfTotal" baseField="17" baseItem="18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5E935-622C-4C46-ACEA-7DE886B85F5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item="8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C768F-2B21-4F55-8AB9-459981DF346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20" firstHeaderRow="1" firstDataRow="2" firstDataCol="1" rowPageCount="4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16" hier="-1"/>
    <pageField fld="17" hier="-1"/>
    <pageField fld="20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02" zoomScaleNormal="102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K1" sqref="K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109375" bestFit="1" customWidth="1"/>
    <col min="17" max="17" width="11.88671875" bestFit="1" customWidth="1"/>
    <col min="18" max="18" width="15.77734375" bestFit="1" customWidth="1"/>
    <col min="19" max="19" width="22.77734375" style="16" bestFit="1" customWidth="1"/>
    <col min="20" max="20" width="20.88671875" bestFit="1" customWidth="1"/>
    <col min="21" max="21" width="24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8415</v>
      </c>
      <c r="R1" s="11" t="s">
        <v>8359</v>
      </c>
      <c r="S1" s="15" t="s">
        <v>8366</v>
      </c>
      <c r="T1" s="15" t="s">
        <v>8365</v>
      </c>
      <c r="U1" s="11" t="s">
        <v>8416</v>
      </c>
      <c r="V1" s="11" t="s">
        <v>8379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 0)</f>
        <v>137</v>
      </c>
      <c r="P2" s="8">
        <f t="shared" ref="P2:P65" si="1">IFERROR(ROUND(E2/L2, 2), 0)</f>
        <v>63.92</v>
      </c>
      <c r="Q2" s="10" t="s">
        <v>8308</v>
      </c>
      <c r="R2" s="10" t="s">
        <v>8309</v>
      </c>
      <c r="S2" s="16">
        <f t="shared" ref="S2:S65" si="2">(J2/60/60/24)+DATE(1970, 1, 1)</f>
        <v>42177.007071759261</v>
      </c>
      <c r="T2" s="16">
        <f t="shared" ref="T2:T65" si="3">(I2/60/60/24)+DATE(1970, 1, 1)</f>
        <v>42208.125</v>
      </c>
      <c r="U2">
        <f>ROUND(T2-S2, 0)</f>
        <v>31</v>
      </c>
      <c r="V2">
        <f>YEAR($S2)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si="1"/>
        <v>185.48</v>
      </c>
      <c r="Q3" s="10" t="s">
        <v>8308</v>
      </c>
      <c r="R3" s="10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6" si="4">ROUND(T3-S3, 0)</f>
        <v>30</v>
      </c>
      <c r="V3">
        <f t="shared" ref="V3:V66" si="5">YEAR($S3)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s="10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  <c r="V4">
        <f t="shared" si="5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s="10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  <c r="V5">
        <f t="shared" si="5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s="10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  <c r="V6">
        <f t="shared" si="5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s="10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16</v>
      </c>
      <c r="V7">
        <f t="shared" si="5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s="10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  <c r="V8">
        <f t="shared" si="5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s="10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  <c r="V9">
        <f t="shared" si="5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s="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7</v>
      </c>
      <c r="V10">
        <f t="shared" si="5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s="10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  <c r="V11">
        <f t="shared" si="5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s="10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  <c r="V12">
        <f t="shared" si="5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s="10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31</v>
      </c>
      <c r="V13">
        <f t="shared" si="5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s="10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44</v>
      </c>
      <c r="V14">
        <f t="shared" si="5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s="10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</v>
      </c>
      <c r="V15">
        <f t="shared" si="5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s="10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26</v>
      </c>
      <c r="V16">
        <f t="shared" si="5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s="10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</v>
      </c>
      <c r="V17">
        <f t="shared" si="5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s="10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</v>
      </c>
      <c r="V18">
        <f t="shared" si="5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s="10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</v>
      </c>
      <c r="V19">
        <f t="shared" si="5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s="1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  <c r="V20">
        <f t="shared" si="5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s="10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  <c r="V21">
        <f t="shared" si="5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s="10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  <c r="V22">
        <f t="shared" si="5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s="10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  <c r="V23">
        <f t="shared" si="5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s="10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15</v>
      </c>
      <c r="V24">
        <f t="shared" si="5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s="10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27</v>
      </c>
      <c r="V25">
        <f t="shared" si="5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s="10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33</v>
      </c>
      <c r="V26">
        <f t="shared" si="5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s="10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  <c r="V27">
        <f t="shared" si="5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s="10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  <c r="V28">
        <f t="shared" si="5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s="10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</v>
      </c>
      <c r="V29">
        <f t="shared" si="5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s="1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  <c r="V30">
        <f t="shared" si="5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s="10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  <c r="V31">
        <f t="shared" si="5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s="10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  <c r="V32">
        <f t="shared" si="5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s="10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  <c r="V33">
        <f t="shared" si="5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s="10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42</v>
      </c>
      <c r="V34">
        <f t="shared" si="5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s="10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</v>
      </c>
      <c r="V35">
        <f t="shared" si="5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s="10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  <c r="V36">
        <f t="shared" si="5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s="10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24</v>
      </c>
      <c r="V37">
        <f t="shared" si="5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s="10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30</v>
      </c>
      <c r="V38">
        <f t="shared" si="5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s="10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  <c r="V39">
        <f t="shared" si="5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s="1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  <c r="V40">
        <f t="shared" si="5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s="10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31</v>
      </c>
      <c r="V41">
        <f t="shared" si="5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s="10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</v>
      </c>
      <c r="V42">
        <f t="shared" si="5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s="10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  <c r="V43">
        <f t="shared" si="5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s="10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  <c r="V44">
        <f t="shared" si="5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s="10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30</v>
      </c>
      <c r="V45">
        <f t="shared" si="5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s="10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  <c r="V46">
        <f t="shared" si="5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s="10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  <c r="V47">
        <f t="shared" si="5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s="10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  <c r="V48">
        <f t="shared" si="5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s="10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</v>
      </c>
      <c r="V49">
        <f t="shared" si="5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s="1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31</v>
      </c>
      <c r="V50">
        <f t="shared" si="5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s="10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  <c r="V51">
        <f t="shared" si="5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s="10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39</v>
      </c>
      <c r="V52">
        <f t="shared" si="5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s="10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  <c r="V53">
        <f t="shared" si="5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s="10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  <c r="V54">
        <f t="shared" si="5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s="10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</v>
      </c>
      <c r="V55">
        <f t="shared" si="5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s="10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  <c r="V56">
        <f t="shared" si="5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s="10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  <c r="V57">
        <f t="shared" si="5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s="10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</v>
      </c>
      <c r="V58">
        <f t="shared" si="5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s="10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  <c r="V59">
        <f t="shared" si="5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s="1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</v>
      </c>
      <c r="V60">
        <f t="shared" si="5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s="10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32</v>
      </c>
      <c r="V61">
        <f t="shared" si="5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s="10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19</v>
      </c>
      <c r="V62">
        <f t="shared" si="5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s="10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  <c r="V63">
        <f t="shared" si="5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s="10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  <c r="V64">
        <f t="shared" si="5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s="10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</v>
      </c>
      <c r="V65">
        <f t="shared" si="5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ROUND((E66/D66)*100, 0)</f>
        <v>173</v>
      </c>
      <c r="P66" s="8">
        <f t="shared" ref="P66:P129" si="7">IFERROR(ROUND(E66/L66, 2), 0)</f>
        <v>86.67</v>
      </c>
      <c r="Q66" s="10" t="s">
        <v>8308</v>
      </c>
      <c r="R66" s="10" t="s">
        <v>8310</v>
      </c>
      <c r="S66" s="16">
        <f t="shared" ref="S66:S129" si="8">(J66/60/60/24)+DATE(1970, 1, 1)</f>
        <v>41433.01829861111</v>
      </c>
      <c r="T66" s="16">
        <f t="shared" ref="T66:T129" si="9">(I66/60/60/24)+DATE(1970, 1, 1)</f>
        <v>41463.01829861111</v>
      </c>
      <c r="U66">
        <f t="shared" si="4"/>
        <v>30</v>
      </c>
      <c r="V66">
        <f t="shared" si="5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8">
        <f t="shared" si="7"/>
        <v>132.05000000000001</v>
      </c>
      <c r="Q67" s="10" t="s">
        <v>8308</v>
      </c>
      <c r="R67" s="10" t="s">
        <v>8310</v>
      </c>
      <c r="S67" s="16">
        <f t="shared" si="8"/>
        <v>41835.821226851855</v>
      </c>
      <c r="T67" s="16">
        <f t="shared" si="9"/>
        <v>41862.249305555553</v>
      </c>
      <c r="U67">
        <f t="shared" ref="U67:U130" si="10">ROUND(T67-S67, 0)</f>
        <v>26</v>
      </c>
      <c r="V67">
        <f t="shared" ref="V67:V130" si="11">YEAR($S67)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8">
        <f t="shared" si="7"/>
        <v>91.23</v>
      </c>
      <c r="Q68" s="10" t="s">
        <v>8308</v>
      </c>
      <c r="R68" s="10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  <c r="V68">
        <f t="shared" si="11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8">
        <f t="shared" si="7"/>
        <v>116.25</v>
      </c>
      <c r="Q69" s="10" t="s">
        <v>8308</v>
      </c>
      <c r="R69" s="10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  <c r="V69">
        <f t="shared" si="11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8">
        <f t="shared" si="7"/>
        <v>21.19</v>
      </c>
      <c r="Q70" s="10" t="s">
        <v>8308</v>
      </c>
      <c r="R70" s="1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  <c r="V70">
        <f t="shared" si="11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8">
        <f t="shared" si="7"/>
        <v>62.33</v>
      </c>
      <c r="Q71" s="10" t="s">
        <v>8308</v>
      </c>
      <c r="R71" s="10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</v>
      </c>
      <c r="V71">
        <f t="shared" si="11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8">
        <f t="shared" si="7"/>
        <v>37.409999999999997</v>
      </c>
      <c r="Q72" s="10" t="s">
        <v>8308</v>
      </c>
      <c r="R72" s="10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  <c r="V72">
        <f t="shared" si="11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8">
        <f t="shared" si="7"/>
        <v>69.72</v>
      </c>
      <c r="Q73" s="10" t="s">
        <v>8308</v>
      </c>
      <c r="R73" s="10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  <c r="V73">
        <f t="shared" si="11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8">
        <f t="shared" si="7"/>
        <v>58.17</v>
      </c>
      <c r="Q74" s="10" t="s">
        <v>8308</v>
      </c>
      <c r="R74" s="10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20</v>
      </c>
      <c r="V74">
        <f t="shared" si="11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8">
        <f t="shared" si="7"/>
        <v>50</v>
      </c>
      <c r="Q75" s="10" t="s">
        <v>8308</v>
      </c>
      <c r="R75" s="10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</v>
      </c>
      <c r="V75">
        <f t="shared" si="11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8">
        <f t="shared" si="7"/>
        <v>19.47</v>
      </c>
      <c r="Q76" s="10" t="s">
        <v>8308</v>
      </c>
      <c r="R76" s="10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  <c r="V76">
        <f t="shared" si="11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8">
        <f t="shared" si="7"/>
        <v>85.96</v>
      </c>
      <c r="Q77" s="10" t="s">
        <v>8308</v>
      </c>
      <c r="R77" s="10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  <c r="V77">
        <f t="shared" si="11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8">
        <f t="shared" si="7"/>
        <v>30.67</v>
      </c>
      <c r="Q78" s="10" t="s">
        <v>8308</v>
      </c>
      <c r="R78" s="10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</v>
      </c>
      <c r="V78">
        <f t="shared" si="11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8">
        <f t="shared" si="7"/>
        <v>60.38</v>
      </c>
      <c r="Q79" s="10" t="s">
        <v>8308</v>
      </c>
      <c r="R79" s="10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53</v>
      </c>
      <c r="V79">
        <f t="shared" si="11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8">
        <f t="shared" si="7"/>
        <v>38.6</v>
      </c>
      <c r="Q80" s="10" t="s">
        <v>8308</v>
      </c>
      <c r="R80" s="1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  <c r="V80">
        <f t="shared" si="11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8">
        <f t="shared" si="7"/>
        <v>40.270000000000003</v>
      </c>
      <c r="Q81" s="10" t="s">
        <v>8308</v>
      </c>
      <c r="R81" s="10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  <c r="V81">
        <f t="shared" si="11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8">
        <f t="shared" si="7"/>
        <v>273.83</v>
      </c>
      <c r="Q82" s="10" t="s">
        <v>8308</v>
      </c>
      <c r="R82" s="10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  <c r="V82">
        <f t="shared" si="11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8">
        <f t="shared" si="7"/>
        <v>53.04</v>
      </c>
      <c r="Q83" s="10" t="s">
        <v>8308</v>
      </c>
      <c r="R83" s="10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4</v>
      </c>
      <c r="V83">
        <f t="shared" si="11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8">
        <f t="shared" si="7"/>
        <v>40.01</v>
      </c>
      <c r="Q84" s="10" t="s">
        <v>8308</v>
      </c>
      <c r="R84" s="10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  <c r="V84">
        <f t="shared" si="11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8">
        <f t="shared" si="7"/>
        <v>15.77</v>
      </c>
      <c r="Q85" s="10" t="s">
        <v>8308</v>
      </c>
      <c r="R85" s="10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15</v>
      </c>
      <c r="V85">
        <f t="shared" si="11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8">
        <f t="shared" si="7"/>
        <v>71.430000000000007</v>
      </c>
      <c r="Q86" s="10" t="s">
        <v>8308</v>
      </c>
      <c r="R86" s="10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  <c r="V86">
        <f t="shared" si="11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8">
        <f t="shared" si="7"/>
        <v>71.709999999999994</v>
      </c>
      <c r="Q87" s="10" t="s">
        <v>8308</v>
      </c>
      <c r="R87" s="10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  <c r="V87">
        <f t="shared" si="11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8">
        <f t="shared" si="7"/>
        <v>375.76</v>
      </c>
      <c r="Q88" s="10" t="s">
        <v>8308</v>
      </c>
      <c r="R88" s="10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</v>
      </c>
      <c r="V88">
        <f t="shared" si="11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8">
        <f t="shared" si="7"/>
        <v>104.6</v>
      </c>
      <c r="Q89" s="10" t="s">
        <v>8308</v>
      </c>
      <c r="R89" s="10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10</v>
      </c>
      <c r="V89">
        <f t="shared" si="11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8">
        <f t="shared" si="7"/>
        <v>60</v>
      </c>
      <c r="Q90" s="10" t="s">
        <v>8308</v>
      </c>
      <c r="R90" s="1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  <c r="V90">
        <f t="shared" si="11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8">
        <f t="shared" si="7"/>
        <v>123.29</v>
      </c>
      <c r="Q91" s="10" t="s">
        <v>8308</v>
      </c>
      <c r="R91" s="10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  <c r="V91">
        <f t="shared" si="11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8">
        <f t="shared" si="7"/>
        <v>31.38</v>
      </c>
      <c r="Q92" s="10" t="s">
        <v>8308</v>
      </c>
      <c r="R92" s="10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  <c r="V92">
        <f t="shared" si="11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8">
        <f t="shared" si="7"/>
        <v>78.260000000000005</v>
      </c>
      <c r="Q93" s="10" t="s">
        <v>8308</v>
      </c>
      <c r="R93" s="10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  <c r="V93">
        <f t="shared" si="11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8">
        <f t="shared" si="7"/>
        <v>122.33</v>
      </c>
      <c r="Q94" s="10" t="s">
        <v>8308</v>
      </c>
      <c r="R94" s="10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</v>
      </c>
      <c r="V94">
        <f t="shared" si="11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8">
        <f t="shared" si="7"/>
        <v>73.73</v>
      </c>
      <c r="Q95" s="10" t="s">
        <v>8308</v>
      </c>
      <c r="R95" s="10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28</v>
      </c>
      <c r="V95">
        <f t="shared" si="11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8">
        <f t="shared" si="7"/>
        <v>21.67</v>
      </c>
      <c r="Q96" s="10" t="s">
        <v>8308</v>
      </c>
      <c r="R96" s="10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  <c r="V96">
        <f t="shared" si="11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8">
        <f t="shared" si="7"/>
        <v>21.9</v>
      </c>
      <c r="Q97" s="10" t="s">
        <v>8308</v>
      </c>
      <c r="R97" s="10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  <c r="V97">
        <f t="shared" si="11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8">
        <f t="shared" si="7"/>
        <v>50.59</v>
      </c>
      <c r="Q98" s="10" t="s">
        <v>8308</v>
      </c>
      <c r="R98" s="10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66</v>
      </c>
      <c r="V98">
        <f t="shared" si="11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8">
        <f t="shared" si="7"/>
        <v>53.13</v>
      </c>
      <c r="Q99" s="10" t="s">
        <v>8308</v>
      </c>
      <c r="R99" s="10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  <c r="V99">
        <f t="shared" si="11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8">
        <f t="shared" si="7"/>
        <v>56.67</v>
      </c>
      <c r="Q100" s="10" t="s">
        <v>8308</v>
      </c>
      <c r="R100" s="1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</v>
      </c>
      <c r="V100">
        <f t="shared" si="11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8">
        <f t="shared" si="7"/>
        <v>40.78</v>
      </c>
      <c r="Q101" s="10" t="s">
        <v>8308</v>
      </c>
      <c r="R101" s="10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  <c r="V101">
        <f t="shared" si="11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8">
        <f t="shared" si="7"/>
        <v>192.31</v>
      </c>
      <c r="Q102" s="10" t="s">
        <v>8308</v>
      </c>
      <c r="R102" s="10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</v>
      </c>
      <c r="V102">
        <f t="shared" si="11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8">
        <f t="shared" si="7"/>
        <v>100</v>
      </c>
      <c r="Q103" s="10" t="s">
        <v>8308</v>
      </c>
      <c r="R103" s="10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  <c r="V103">
        <f t="shared" si="11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8">
        <f t="shared" si="7"/>
        <v>117.92</v>
      </c>
      <c r="Q104" s="10" t="s">
        <v>8308</v>
      </c>
      <c r="R104" s="10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  <c r="V104">
        <f t="shared" si="11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8">
        <f t="shared" si="7"/>
        <v>27.9</v>
      </c>
      <c r="Q105" s="10" t="s">
        <v>8308</v>
      </c>
      <c r="R105" s="10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  <c r="V105">
        <f t="shared" si="11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8">
        <f t="shared" si="7"/>
        <v>60</v>
      </c>
      <c r="Q106" s="10" t="s">
        <v>8308</v>
      </c>
      <c r="R106" s="10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</v>
      </c>
      <c r="V106">
        <f t="shared" si="11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8">
        <f t="shared" si="7"/>
        <v>39.380000000000003</v>
      </c>
      <c r="Q107" s="10" t="s">
        <v>8308</v>
      </c>
      <c r="R107" s="10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18</v>
      </c>
      <c r="V107">
        <f t="shared" si="11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8">
        <f t="shared" si="7"/>
        <v>186.11</v>
      </c>
      <c r="Q108" s="10" t="s">
        <v>8308</v>
      </c>
      <c r="R108" s="10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  <c r="V108">
        <f t="shared" si="11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8">
        <f t="shared" si="7"/>
        <v>111.38</v>
      </c>
      <c r="Q109" s="10" t="s">
        <v>8308</v>
      </c>
      <c r="R109" s="10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  <c r="V109">
        <f t="shared" si="11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8">
        <f t="shared" si="7"/>
        <v>78.72</v>
      </c>
      <c r="Q110" s="10" t="s">
        <v>8308</v>
      </c>
      <c r="R110" s="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  <c r="V110">
        <f t="shared" si="11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8">
        <f t="shared" si="7"/>
        <v>46.7</v>
      </c>
      <c r="Q111" s="10" t="s">
        <v>8308</v>
      </c>
      <c r="R111" s="10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  <c r="V111">
        <f t="shared" si="11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8">
        <f t="shared" si="7"/>
        <v>65.38</v>
      </c>
      <c r="Q112" s="10" t="s">
        <v>8308</v>
      </c>
      <c r="R112" s="10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</v>
      </c>
      <c r="V112">
        <f t="shared" si="11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8">
        <f t="shared" si="7"/>
        <v>102.08</v>
      </c>
      <c r="Q113" s="10" t="s">
        <v>8308</v>
      </c>
      <c r="R113" s="10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  <c r="V113">
        <f t="shared" si="11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8">
        <f t="shared" si="7"/>
        <v>64.2</v>
      </c>
      <c r="Q114" s="10" t="s">
        <v>8308</v>
      </c>
      <c r="R114" s="10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</v>
      </c>
      <c r="V114">
        <f t="shared" si="11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8">
        <f t="shared" si="7"/>
        <v>90.38</v>
      </c>
      <c r="Q115" s="10" t="s">
        <v>8308</v>
      </c>
      <c r="R115" s="10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8</v>
      </c>
      <c r="V115">
        <f t="shared" si="11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8">
        <f t="shared" si="7"/>
        <v>88.57</v>
      </c>
      <c r="Q116" s="10" t="s">
        <v>8308</v>
      </c>
      <c r="R116" s="10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  <c r="V116">
        <f t="shared" si="11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8">
        <f t="shared" si="7"/>
        <v>28.73</v>
      </c>
      <c r="Q117" s="10" t="s">
        <v>8308</v>
      </c>
      <c r="R117" s="10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  <c r="V117">
        <f t="shared" si="11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8">
        <f t="shared" si="7"/>
        <v>69.790000000000006</v>
      </c>
      <c r="Q118" s="10" t="s">
        <v>8308</v>
      </c>
      <c r="R118" s="10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46</v>
      </c>
      <c r="V118">
        <f t="shared" si="11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8">
        <f t="shared" si="7"/>
        <v>167.49</v>
      </c>
      <c r="Q119" s="10" t="s">
        <v>8308</v>
      </c>
      <c r="R119" s="10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90</v>
      </c>
      <c r="V119">
        <f t="shared" si="11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8">
        <f t="shared" si="7"/>
        <v>144.91</v>
      </c>
      <c r="Q120" s="10" t="s">
        <v>8308</v>
      </c>
      <c r="R120" s="1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  <c r="V120">
        <f t="shared" si="11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8">
        <f t="shared" si="7"/>
        <v>91.84</v>
      </c>
      <c r="Q121" s="10" t="s">
        <v>8308</v>
      </c>
      <c r="R121" s="10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30</v>
      </c>
      <c r="V121">
        <f t="shared" si="11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8">
        <f t="shared" si="7"/>
        <v>10</v>
      </c>
      <c r="Q122" s="10" t="s">
        <v>8308</v>
      </c>
      <c r="R122" s="10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  <c r="V122">
        <f t="shared" si="11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8">
        <f t="shared" si="7"/>
        <v>1</v>
      </c>
      <c r="Q123" s="10" t="s">
        <v>8308</v>
      </c>
      <c r="R123" s="10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16</v>
      </c>
      <c r="V123">
        <f t="shared" si="11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8">
        <f t="shared" si="7"/>
        <v>0</v>
      </c>
      <c r="Q124" s="10" t="s">
        <v>8308</v>
      </c>
      <c r="R124" s="10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  <c r="V124">
        <f t="shared" si="11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8">
        <f t="shared" si="7"/>
        <v>25.17</v>
      </c>
      <c r="Q125" s="10" t="s">
        <v>8308</v>
      </c>
      <c r="R125" s="10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</v>
      </c>
      <c r="V125">
        <f t="shared" si="11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8">
        <f t="shared" si="7"/>
        <v>0</v>
      </c>
      <c r="Q126" s="10" t="s">
        <v>8308</v>
      </c>
      <c r="R126" s="10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  <c r="V126">
        <f t="shared" si="11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8">
        <f t="shared" si="7"/>
        <v>11.67</v>
      </c>
      <c r="Q127" s="10" t="s">
        <v>8308</v>
      </c>
      <c r="R127" s="10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  <c r="V127">
        <f t="shared" si="11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8">
        <f t="shared" si="7"/>
        <v>106.69</v>
      </c>
      <c r="Q128" s="10" t="s">
        <v>8308</v>
      </c>
      <c r="R128" s="10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</v>
      </c>
      <c r="V128">
        <f t="shared" si="11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8">
        <f t="shared" si="7"/>
        <v>47.5</v>
      </c>
      <c r="Q129" s="10" t="s">
        <v>8308</v>
      </c>
      <c r="R129" s="10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30</v>
      </c>
      <c r="V129">
        <f t="shared" si="11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ROUND((E130/D130)*100, 0)</f>
        <v>2</v>
      </c>
      <c r="P130" s="8">
        <f t="shared" ref="P130:P193" si="13">IFERROR(ROUND(E130/L130, 2), 0)</f>
        <v>311.17</v>
      </c>
      <c r="Q130" s="10" t="s">
        <v>8308</v>
      </c>
      <c r="R130" s="10" t="s">
        <v>8311</v>
      </c>
      <c r="S130" s="16">
        <f t="shared" ref="S130:S193" si="14">(J130/60/60/24)+DATE(1970, 1, 1)</f>
        <v>42628.22792824074</v>
      </c>
      <c r="T130" s="16">
        <f t="shared" ref="T130:T193" si="15">(I130/60/60/24)+DATE(1970, 1, 1)</f>
        <v>42663.22792824074</v>
      </c>
      <c r="U130">
        <f t="shared" si="10"/>
        <v>35</v>
      </c>
      <c r="V130">
        <f t="shared" si="11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 s="8">
        <f t="shared" si="13"/>
        <v>0</v>
      </c>
      <c r="Q131" s="10" t="s">
        <v>8308</v>
      </c>
      <c r="R131" s="10" t="s">
        <v>8311</v>
      </c>
      <c r="S131" s="16">
        <f t="shared" si="14"/>
        <v>41882.937303240738</v>
      </c>
      <c r="T131" s="16">
        <f t="shared" si="15"/>
        <v>41942.937303240738</v>
      </c>
      <c r="U131">
        <f t="shared" ref="U131:U194" si="16">ROUND(T131-S131, 0)</f>
        <v>60</v>
      </c>
      <c r="V131">
        <f t="shared" ref="V131:V194" si="17">YEAR($S131)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8">
        <f t="shared" si="13"/>
        <v>0</v>
      </c>
      <c r="Q132" s="10" t="s">
        <v>8308</v>
      </c>
      <c r="R132" s="10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28</v>
      </c>
      <c r="V132">
        <f t="shared" si="17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8">
        <f t="shared" si="13"/>
        <v>0</v>
      </c>
      <c r="Q133" s="10" t="s">
        <v>8308</v>
      </c>
      <c r="R133" s="10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15</v>
      </c>
      <c r="V133">
        <f t="shared" si="17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 s="8">
        <f t="shared" si="13"/>
        <v>94.51</v>
      </c>
      <c r="Q134" s="10" t="s">
        <v>8308</v>
      </c>
      <c r="R134" s="10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45</v>
      </c>
      <c r="V134">
        <f t="shared" si="17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8">
        <f t="shared" si="13"/>
        <v>0</v>
      </c>
      <c r="Q135" s="10" t="s">
        <v>8308</v>
      </c>
      <c r="R135" s="10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30</v>
      </c>
      <c r="V135">
        <f t="shared" si="17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8">
        <f t="shared" si="13"/>
        <v>0</v>
      </c>
      <c r="Q136" s="10" t="s">
        <v>8308</v>
      </c>
      <c r="R136" s="10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30</v>
      </c>
      <c r="V136">
        <f t="shared" si="17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 s="8">
        <f t="shared" si="13"/>
        <v>80.599999999999994</v>
      </c>
      <c r="Q137" s="10" t="s">
        <v>8308</v>
      </c>
      <c r="R137" s="10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33</v>
      </c>
      <c r="V137">
        <f t="shared" si="17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8">
        <f t="shared" si="13"/>
        <v>0</v>
      </c>
      <c r="Q138" s="10" t="s">
        <v>8308</v>
      </c>
      <c r="R138" s="10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44</v>
      </c>
      <c r="V138">
        <f t="shared" si="17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8">
        <f t="shared" si="13"/>
        <v>0</v>
      </c>
      <c r="Q139" s="10" t="s">
        <v>8308</v>
      </c>
      <c r="R139" s="10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50</v>
      </c>
      <c r="V139">
        <f t="shared" si="17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 s="8">
        <f t="shared" si="13"/>
        <v>81.239999999999995</v>
      </c>
      <c r="Q140" s="10" t="s">
        <v>8308</v>
      </c>
      <c r="R140" s="1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31</v>
      </c>
      <c r="V140">
        <f t="shared" si="17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 s="8">
        <f t="shared" si="13"/>
        <v>500</v>
      </c>
      <c r="Q141" s="10" t="s">
        <v>8308</v>
      </c>
      <c r="R141" s="10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10</v>
      </c>
      <c r="V141">
        <f t="shared" si="17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8">
        <f t="shared" si="13"/>
        <v>0</v>
      </c>
      <c r="Q142" s="10" t="s">
        <v>8308</v>
      </c>
      <c r="R142" s="10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30</v>
      </c>
      <c r="V142">
        <f t="shared" si="17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 s="8">
        <f t="shared" si="13"/>
        <v>46.18</v>
      </c>
      <c r="Q143" s="10" t="s">
        <v>8308</v>
      </c>
      <c r="R143" s="10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45</v>
      </c>
      <c r="V143">
        <f t="shared" si="17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 s="8">
        <f t="shared" si="13"/>
        <v>10</v>
      </c>
      <c r="Q144" s="10" t="s">
        <v>8308</v>
      </c>
      <c r="R144" s="10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21</v>
      </c>
      <c r="V144">
        <f t="shared" si="17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8">
        <f t="shared" si="13"/>
        <v>0</v>
      </c>
      <c r="Q145" s="10" t="s">
        <v>8308</v>
      </c>
      <c r="R145" s="10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57</v>
      </c>
      <c r="V145">
        <f t="shared" si="17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 s="8">
        <f t="shared" si="13"/>
        <v>55.95</v>
      </c>
      <c r="Q146" s="10" t="s">
        <v>8308</v>
      </c>
      <c r="R146" s="10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60</v>
      </c>
      <c r="V146">
        <f t="shared" si="17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 s="8">
        <f t="shared" si="13"/>
        <v>37.56</v>
      </c>
      <c r="Q147" s="10" t="s">
        <v>8308</v>
      </c>
      <c r="R147" s="10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27</v>
      </c>
      <c r="V147">
        <f t="shared" si="17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 s="8">
        <f t="shared" si="13"/>
        <v>38.33</v>
      </c>
      <c r="Q148" s="10" t="s">
        <v>8308</v>
      </c>
      <c r="R148" s="10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60</v>
      </c>
      <c r="V148">
        <f t="shared" si="17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8">
        <f t="shared" si="13"/>
        <v>0</v>
      </c>
      <c r="Q149" s="10" t="s">
        <v>8308</v>
      </c>
      <c r="R149" s="10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43</v>
      </c>
      <c r="V149">
        <f t="shared" si="17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 s="8">
        <f t="shared" si="13"/>
        <v>20</v>
      </c>
      <c r="Q150" s="10" t="s">
        <v>8308</v>
      </c>
      <c r="R150" s="1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30</v>
      </c>
      <c r="V150">
        <f t="shared" si="17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 s="8">
        <f t="shared" si="13"/>
        <v>15.33</v>
      </c>
      <c r="Q151" s="10" t="s">
        <v>8308</v>
      </c>
      <c r="R151" s="10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30</v>
      </c>
      <c r="V151">
        <f t="shared" si="17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 s="8">
        <f t="shared" si="13"/>
        <v>449.43</v>
      </c>
      <c r="Q152" s="10" t="s">
        <v>8308</v>
      </c>
      <c r="R152" s="10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60</v>
      </c>
      <c r="V152">
        <f t="shared" si="17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 s="8">
        <f t="shared" si="13"/>
        <v>28</v>
      </c>
      <c r="Q153" s="10" t="s">
        <v>8308</v>
      </c>
      <c r="R153" s="10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60</v>
      </c>
      <c r="V153">
        <f t="shared" si="17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 s="8">
        <f t="shared" si="13"/>
        <v>15</v>
      </c>
      <c r="Q154" s="10" t="s">
        <v>8308</v>
      </c>
      <c r="R154" s="10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30</v>
      </c>
      <c r="V154">
        <f t="shared" si="17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 s="8">
        <f t="shared" si="13"/>
        <v>35.9</v>
      </c>
      <c r="Q155" s="10" t="s">
        <v>8308</v>
      </c>
      <c r="R155" s="10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42</v>
      </c>
      <c r="V155">
        <f t="shared" si="17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 s="8">
        <f t="shared" si="13"/>
        <v>13.33</v>
      </c>
      <c r="Q156" s="10" t="s">
        <v>8308</v>
      </c>
      <c r="R156" s="10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43</v>
      </c>
      <c r="V156">
        <f t="shared" si="17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 s="8">
        <f t="shared" si="13"/>
        <v>20.25</v>
      </c>
      <c r="Q157" s="10" t="s">
        <v>8308</v>
      </c>
      <c r="R157" s="10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40</v>
      </c>
      <c r="V157">
        <f t="shared" si="17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 s="8">
        <f t="shared" si="13"/>
        <v>119</v>
      </c>
      <c r="Q158" s="10" t="s">
        <v>8308</v>
      </c>
      <c r="R158" s="10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60</v>
      </c>
      <c r="V158">
        <f t="shared" si="17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 s="8">
        <f t="shared" si="13"/>
        <v>4</v>
      </c>
      <c r="Q159" s="10" t="s">
        <v>8308</v>
      </c>
      <c r="R159" s="10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30</v>
      </c>
      <c r="V159">
        <f t="shared" si="17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8">
        <f t="shared" si="13"/>
        <v>0</v>
      </c>
      <c r="Q160" s="10" t="s">
        <v>8308</v>
      </c>
      <c r="R160" s="1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30</v>
      </c>
      <c r="V160">
        <f t="shared" si="17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 s="8">
        <f t="shared" si="13"/>
        <v>10</v>
      </c>
      <c r="Q161" s="10" t="s">
        <v>8308</v>
      </c>
      <c r="R161" s="10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40</v>
      </c>
      <c r="V161">
        <f t="shared" si="17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8">
        <f t="shared" si="13"/>
        <v>0</v>
      </c>
      <c r="Q162" s="10" t="s">
        <v>8308</v>
      </c>
      <c r="R162" s="10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60</v>
      </c>
      <c r="V162">
        <f t="shared" si="17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 s="8">
        <f t="shared" si="13"/>
        <v>5</v>
      </c>
      <c r="Q163" s="10" t="s">
        <v>8308</v>
      </c>
      <c r="R163" s="10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30</v>
      </c>
      <c r="V163">
        <f t="shared" si="17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 s="8">
        <f t="shared" si="13"/>
        <v>43.5</v>
      </c>
      <c r="Q164" s="10" t="s">
        <v>8308</v>
      </c>
      <c r="R164" s="10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33</v>
      </c>
      <c r="V164">
        <f t="shared" si="17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8">
        <f t="shared" si="13"/>
        <v>0</v>
      </c>
      <c r="Q165" s="10" t="s">
        <v>8308</v>
      </c>
      <c r="R165" s="10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34</v>
      </c>
      <c r="V165">
        <f t="shared" si="17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 s="8">
        <f t="shared" si="13"/>
        <v>91.43</v>
      </c>
      <c r="Q166" s="10" t="s">
        <v>8308</v>
      </c>
      <c r="R166" s="10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60</v>
      </c>
      <c r="V166">
        <f t="shared" si="17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8">
        <f t="shared" si="13"/>
        <v>0</v>
      </c>
      <c r="Q167" s="10" t="s">
        <v>8308</v>
      </c>
      <c r="R167" s="10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30</v>
      </c>
      <c r="V167">
        <f t="shared" si="17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 s="8">
        <f t="shared" si="13"/>
        <v>3000</v>
      </c>
      <c r="Q168" s="10" t="s">
        <v>8308</v>
      </c>
      <c r="R168" s="10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30</v>
      </c>
      <c r="V168">
        <f t="shared" si="17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 s="8">
        <f t="shared" si="13"/>
        <v>5.5</v>
      </c>
      <c r="Q169" s="10" t="s">
        <v>8308</v>
      </c>
      <c r="R169" s="10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60</v>
      </c>
      <c r="V169">
        <f t="shared" si="17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 s="8">
        <f t="shared" si="13"/>
        <v>108.33</v>
      </c>
      <c r="Q170" s="10" t="s">
        <v>8308</v>
      </c>
      <c r="R170" s="1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30</v>
      </c>
      <c r="V170">
        <f t="shared" si="17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 s="8">
        <f t="shared" si="13"/>
        <v>56</v>
      </c>
      <c r="Q171" s="10" t="s">
        <v>8308</v>
      </c>
      <c r="R171" s="10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30</v>
      </c>
      <c r="V171">
        <f t="shared" si="17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 s="8">
        <f t="shared" si="13"/>
        <v>32.5</v>
      </c>
      <c r="Q172" s="10" t="s">
        <v>8308</v>
      </c>
      <c r="R172" s="10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29</v>
      </c>
      <c r="V172">
        <f t="shared" si="17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 s="8">
        <f t="shared" si="13"/>
        <v>1</v>
      </c>
      <c r="Q173" s="10" t="s">
        <v>8308</v>
      </c>
      <c r="R173" s="10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60</v>
      </c>
      <c r="V173">
        <f t="shared" si="17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8">
        <f t="shared" si="13"/>
        <v>0</v>
      </c>
      <c r="Q174" s="10" t="s">
        <v>8308</v>
      </c>
      <c r="R174" s="10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35</v>
      </c>
      <c r="V174">
        <f t="shared" si="17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8">
        <f t="shared" si="13"/>
        <v>0</v>
      </c>
      <c r="Q175" s="10" t="s">
        <v>8308</v>
      </c>
      <c r="R175" s="10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30</v>
      </c>
      <c r="V175">
        <f t="shared" si="17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8">
        <f t="shared" si="13"/>
        <v>0</v>
      </c>
      <c r="Q176" s="10" t="s">
        <v>8308</v>
      </c>
      <c r="R176" s="10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60</v>
      </c>
      <c r="V176">
        <f t="shared" si="17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 s="8">
        <f t="shared" si="13"/>
        <v>49.88</v>
      </c>
      <c r="Q177" s="10" t="s">
        <v>8308</v>
      </c>
      <c r="R177" s="10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25</v>
      </c>
      <c r="V177">
        <f t="shared" si="17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8">
        <f t="shared" si="13"/>
        <v>0</v>
      </c>
      <c r="Q178" s="10" t="s">
        <v>8308</v>
      </c>
      <c r="R178" s="10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30</v>
      </c>
      <c r="V178">
        <f t="shared" si="17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 s="8">
        <f t="shared" si="13"/>
        <v>25.71</v>
      </c>
      <c r="Q179" s="10" t="s">
        <v>8308</v>
      </c>
      <c r="R179" s="10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17</v>
      </c>
      <c r="V179">
        <f t="shared" si="17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8">
        <f t="shared" si="13"/>
        <v>0</v>
      </c>
      <c r="Q180" s="10" t="s">
        <v>8308</v>
      </c>
      <c r="R180" s="1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30</v>
      </c>
      <c r="V180">
        <f t="shared" si="17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 s="8">
        <f t="shared" si="13"/>
        <v>100</v>
      </c>
      <c r="Q181" s="10" t="s">
        <v>8308</v>
      </c>
      <c r="R181" s="10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30</v>
      </c>
      <c r="V181">
        <f t="shared" si="17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 s="8">
        <f t="shared" si="13"/>
        <v>30.85</v>
      </c>
      <c r="Q182" s="10" t="s">
        <v>8308</v>
      </c>
      <c r="R182" s="10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40</v>
      </c>
      <c r="V182">
        <f t="shared" si="17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 s="8">
        <f t="shared" si="13"/>
        <v>180.5</v>
      </c>
      <c r="Q183" s="10" t="s">
        <v>8308</v>
      </c>
      <c r="R183" s="10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30</v>
      </c>
      <c r="V183">
        <f t="shared" si="17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8">
        <f t="shared" si="13"/>
        <v>0</v>
      </c>
      <c r="Q184" s="10" t="s">
        <v>8308</v>
      </c>
      <c r="R184" s="10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30</v>
      </c>
      <c r="V184">
        <f t="shared" si="17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 s="8">
        <f t="shared" si="13"/>
        <v>373.5</v>
      </c>
      <c r="Q185" s="10" t="s">
        <v>8308</v>
      </c>
      <c r="R185" s="10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30</v>
      </c>
      <c r="V185">
        <f t="shared" si="17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 s="8">
        <f t="shared" si="13"/>
        <v>25.5</v>
      </c>
      <c r="Q186" s="10" t="s">
        <v>8308</v>
      </c>
      <c r="R186" s="10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57</v>
      </c>
      <c r="V186">
        <f t="shared" si="17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8">
        <f t="shared" si="13"/>
        <v>220</v>
      </c>
      <c r="Q187" s="10" t="s">
        <v>8308</v>
      </c>
      <c r="R187" s="10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30</v>
      </c>
      <c r="V187">
        <f t="shared" si="17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8">
        <f t="shared" si="13"/>
        <v>0</v>
      </c>
      <c r="Q188" s="10" t="s">
        <v>8308</v>
      </c>
      <c r="R188" s="10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30</v>
      </c>
      <c r="V188">
        <f t="shared" si="17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8">
        <f t="shared" si="13"/>
        <v>160</v>
      </c>
      <c r="Q189" s="10" t="s">
        <v>8308</v>
      </c>
      <c r="R189" s="10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24</v>
      </c>
      <c r="V189">
        <f t="shared" si="17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8">
        <f t="shared" si="13"/>
        <v>0</v>
      </c>
      <c r="Q190" s="10" t="s">
        <v>8308</v>
      </c>
      <c r="R190" s="1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30</v>
      </c>
      <c r="V190">
        <f t="shared" si="17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8">
        <f t="shared" si="13"/>
        <v>69</v>
      </c>
      <c r="Q191" s="10" t="s">
        <v>8308</v>
      </c>
      <c r="R191" s="10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60</v>
      </c>
      <c r="V191">
        <f t="shared" si="17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8">
        <f t="shared" si="13"/>
        <v>50</v>
      </c>
      <c r="Q192" s="10" t="s">
        <v>8308</v>
      </c>
      <c r="R192" s="10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10</v>
      </c>
      <c r="V192">
        <f t="shared" si="17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8">
        <f t="shared" si="13"/>
        <v>83.33</v>
      </c>
      <c r="Q193" s="10" t="s">
        <v>8308</v>
      </c>
      <c r="R193" s="10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40</v>
      </c>
      <c r="V193">
        <f t="shared" si="17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ROUND((E194/D194)*100, 0)</f>
        <v>0</v>
      </c>
      <c r="P194" s="8">
        <f t="shared" ref="P194:P257" si="19">IFERROR(ROUND(E194/L194, 2), 0)</f>
        <v>5.67</v>
      </c>
      <c r="Q194" s="10" t="s">
        <v>8308</v>
      </c>
      <c r="R194" s="10" t="s">
        <v>8312</v>
      </c>
      <c r="S194" s="16">
        <f t="shared" ref="S194:S257" si="20">(J194/60/60/24)+DATE(1970, 1, 1)</f>
        <v>41899.792037037041</v>
      </c>
      <c r="T194" s="16">
        <f t="shared" ref="T194:T257" si="21">(I194/60/60/24)+DATE(1970, 1, 1)</f>
        <v>41929.792037037041</v>
      </c>
      <c r="U194">
        <f t="shared" si="16"/>
        <v>30</v>
      </c>
      <c r="V194">
        <f t="shared" si="17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s="8">
        <f t="shared" si="19"/>
        <v>0</v>
      </c>
      <c r="Q195" s="10" t="s">
        <v>8308</v>
      </c>
      <c r="R195" s="10" t="s">
        <v>8312</v>
      </c>
      <c r="S195" s="16">
        <f t="shared" si="20"/>
        <v>41911.934791666667</v>
      </c>
      <c r="T195" s="16">
        <f t="shared" si="21"/>
        <v>41971.976458333331</v>
      </c>
      <c r="U195">
        <f t="shared" ref="U195:U258" si="22">ROUND(T195-S195, 0)</f>
        <v>60</v>
      </c>
      <c r="V195">
        <f t="shared" ref="V195:V258" si="23">YEAR($S195)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8">
        <f t="shared" si="19"/>
        <v>1</v>
      </c>
      <c r="Q196" s="10" t="s">
        <v>8308</v>
      </c>
      <c r="R196" s="10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60</v>
      </c>
      <c r="V196">
        <f t="shared" si="23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8">
        <f t="shared" si="19"/>
        <v>0</v>
      </c>
      <c r="Q197" s="10" t="s">
        <v>8308</v>
      </c>
      <c r="R197" s="10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60</v>
      </c>
      <c r="V197">
        <f t="shared" si="23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8">
        <f t="shared" si="19"/>
        <v>77.11</v>
      </c>
      <c r="Q198" s="10" t="s">
        <v>8308</v>
      </c>
      <c r="R198" s="10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28</v>
      </c>
      <c r="V198">
        <f t="shared" si="23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8">
        <f t="shared" si="19"/>
        <v>32.75</v>
      </c>
      <c r="Q199" s="10" t="s">
        <v>8308</v>
      </c>
      <c r="R199" s="10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42</v>
      </c>
      <c r="V199">
        <f t="shared" si="23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8">
        <f t="shared" si="19"/>
        <v>46.5</v>
      </c>
      <c r="Q200" s="10" t="s">
        <v>8308</v>
      </c>
      <c r="R200" s="1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30</v>
      </c>
      <c r="V200">
        <f t="shared" si="23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8">
        <f t="shared" si="19"/>
        <v>0</v>
      </c>
      <c r="Q201" s="10" t="s">
        <v>8308</v>
      </c>
      <c r="R201" s="10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30</v>
      </c>
      <c r="V201">
        <f t="shared" si="23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8">
        <f t="shared" si="19"/>
        <v>87.31</v>
      </c>
      <c r="Q202" s="10" t="s">
        <v>8308</v>
      </c>
      <c r="R202" s="10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30</v>
      </c>
      <c r="V202">
        <f t="shared" si="23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8">
        <f t="shared" si="19"/>
        <v>54.29</v>
      </c>
      <c r="Q203" s="10" t="s">
        <v>8308</v>
      </c>
      <c r="R203" s="10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</v>
      </c>
      <c r="V203">
        <f t="shared" si="23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8">
        <f t="shared" si="19"/>
        <v>0</v>
      </c>
      <c r="Q204" s="10" t="s">
        <v>8308</v>
      </c>
      <c r="R204" s="10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30</v>
      </c>
      <c r="V204">
        <f t="shared" si="23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8">
        <f t="shared" si="19"/>
        <v>93.25</v>
      </c>
      <c r="Q205" s="10" t="s">
        <v>8308</v>
      </c>
      <c r="R205" s="10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60</v>
      </c>
      <c r="V205">
        <f t="shared" si="23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8">
        <f t="shared" si="19"/>
        <v>117.68</v>
      </c>
      <c r="Q206" s="10" t="s">
        <v>8308</v>
      </c>
      <c r="R206" s="10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30</v>
      </c>
      <c r="V206">
        <f t="shared" si="23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8">
        <f t="shared" si="19"/>
        <v>76.47</v>
      </c>
      <c r="Q207" s="10" t="s">
        <v>8308</v>
      </c>
      <c r="R207" s="10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35</v>
      </c>
      <c r="V207">
        <f t="shared" si="23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8">
        <f t="shared" si="19"/>
        <v>0</v>
      </c>
      <c r="Q208" s="10" t="s">
        <v>8308</v>
      </c>
      <c r="R208" s="10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21</v>
      </c>
      <c r="V208">
        <f t="shared" si="23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8">
        <f t="shared" si="19"/>
        <v>163.85</v>
      </c>
      <c r="Q209" s="10" t="s">
        <v>8308</v>
      </c>
      <c r="R209" s="10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30</v>
      </c>
      <c r="V209">
        <f t="shared" si="23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8">
        <f t="shared" si="19"/>
        <v>0</v>
      </c>
      <c r="Q210" s="10" t="s">
        <v>8308</v>
      </c>
      <c r="R210" s="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30</v>
      </c>
      <c r="V210">
        <f t="shared" si="23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8">
        <f t="shared" si="19"/>
        <v>0</v>
      </c>
      <c r="Q211" s="10" t="s">
        <v>8308</v>
      </c>
      <c r="R211" s="10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30</v>
      </c>
      <c r="V211">
        <f t="shared" si="23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8">
        <f t="shared" si="19"/>
        <v>91.82</v>
      </c>
      <c r="Q212" s="10" t="s">
        <v>8308</v>
      </c>
      <c r="R212" s="10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29</v>
      </c>
      <c r="V212">
        <f t="shared" si="23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8">
        <f t="shared" si="19"/>
        <v>185.83</v>
      </c>
      <c r="Q213" s="10" t="s">
        <v>8308</v>
      </c>
      <c r="R213" s="10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30</v>
      </c>
      <c r="V213">
        <f t="shared" si="23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8">
        <f t="shared" si="19"/>
        <v>1</v>
      </c>
      <c r="Q214" s="10" t="s">
        <v>8308</v>
      </c>
      <c r="R214" s="10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60</v>
      </c>
      <c r="V214">
        <f t="shared" si="23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8">
        <f t="shared" si="19"/>
        <v>20</v>
      </c>
      <c r="Q215" s="10" t="s">
        <v>8308</v>
      </c>
      <c r="R215" s="10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30</v>
      </c>
      <c r="V215">
        <f t="shared" si="23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8">
        <f t="shared" si="19"/>
        <v>1</v>
      </c>
      <c r="Q216" s="10" t="s">
        <v>8308</v>
      </c>
      <c r="R216" s="10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60</v>
      </c>
      <c r="V216">
        <f t="shared" si="23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8">
        <f t="shared" si="19"/>
        <v>10</v>
      </c>
      <c r="Q217" s="10" t="s">
        <v>8308</v>
      </c>
      <c r="R217" s="10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43</v>
      </c>
      <c r="V217">
        <f t="shared" si="23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8">
        <f t="shared" si="19"/>
        <v>331.54</v>
      </c>
      <c r="Q218" s="10" t="s">
        <v>8308</v>
      </c>
      <c r="R218" s="10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50</v>
      </c>
      <c r="V218">
        <f t="shared" si="23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8">
        <f t="shared" si="19"/>
        <v>314.29000000000002</v>
      </c>
      <c r="Q219" s="10" t="s">
        <v>8308</v>
      </c>
      <c r="R219" s="10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31</v>
      </c>
      <c r="V219">
        <f t="shared" si="23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8">
        <f t="shared" si="19"/>
        <v>100</v>
      </c>
      <c r="Q220" s="10" t="s">
        <v>8308</v>
      </c>
      <c r="R220" s="1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60</v>
      </c>
      <c r="V220">
        <f t="shared" si="23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8">
        <f t="shared" si="19"/>
        <v>115.99</v>
      </c>
      <c r="Q221" s="10" t="s">
        <v>8308</v>
      </c>
      <c r="R221" s="10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32</v>
      </c>
      <c r="V221">
        <f t="shared" si="23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8">
        <f t="shared" si="19"/>
        <v>120</v>
      </c>
      <c r="Q222" s="10" t="s">
        <v>8308</v>
      </c>
      <c r="R222" s="10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41</v>
      </c>
      <c r="V222">
        <f t="shared" si="23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8">
        <f t="shared" si="19"/>
        <v>0</v>
      </c>
      <c r="Q223" s="10" t="s">
        <v>8308</v>
      </c>
      <c r="R223" s="10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60</v>
      </c>
      <c r="V223">
        <f t="shared" si="23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8">
        <f t="shared" si="19"/>
        <v>65</v>
      </c>
      <c r="Q224" s="10" t="s">
        <v>8308</v>
      </c>
      <c r="R224" s="10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58</v>
      </c>
      <c r="V224">
        <f t="shared" si="23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8">
        <f t="shared" si="19"/>
        <v>0</v>
      </c>
      <c r="Q225" s="10" t="s">
        <v>8308</v>
      </c>
      <c r="R225" s="10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30</v>
      </c>
      <c r="V225">
        <f t="shared" si="23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8">
        <f t="shared" si="19"/>
        <v>0</v>
      </c>
      <c r="Q226" s="10" t="s">
        <v>8308</v>
      </c>
      <c r="R226" s="10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60</v>
      </c>
      <c r="V226">
        <f t="shared" si="23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8">
        <f t="shared" si="19"/>
        <v>0</v>
      </c>
      <c r="Q227" s="10" t="s">
        <v>8308</v>
      </c>
      <c r="R227" s="10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30</v>
      </c>
      <c r="V227">
        <f t="shared" si="23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8">
        <f t="shared" si="19"/>
        <v>125</v>
      </c>
      <c r="Q228" s="10" t="s">
        <v>8308</v>
      </c>
      <c r="R228" s="10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49</v>
      </c>
      <c r="V228">
        <f t="shared" si="23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8">
        <f t="shared" si="19"/>
        <v>0</v>
      </c>
      <c r="Q229" s="10" t="s">
        <v>8308</v>
      </c>
      <c r="R229" s="10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30</v>
      </c>
      <c r="V229">
        <f t="shared" si="23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8">
        <f t="shared" si="19"/>
        <v>0</v>
      </c>
      <c r="Q230" s="10" t="s">
        <v>8308</v>
      </c>
      <c r="R230" s="1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60</v>
      </c>
      <c r="V230">
        <f t="shared" si="23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8">
        <f t="shared" si="19"/>
        <v>0</v>
      </c>
      <c r="Q231" s="10" t="s">
        <v>8308</v>
      </c>
      <c r="R231" s="10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30</v>
      </c>
      <c r="V231">
        <f t="shared" si="23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8">
        <f t="shared" si="19"/>
        <v>30</v>
      </c>
      <c r="Q232" s="10" t="s">
        <v>8308</v>
      </c>
      <c r="R232" s="10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30</v>
      </c>
      <c r="V232">
        <f t="shared" si="23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8">
        <f t="shared" si="19"/>
        <v>0</v>
      </c>
      <c r="Q233" s="10" t="s">
        <v>8308</v>
      </c>
      <c r="R233" s="10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30</v>
      </c>
      <c r="V233">
        <f t="shared" si="23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8">
        <f t="shared" si="19"/>
        <v>15.71</v>
      </c>
      <c r="Q234" s="10" t="s">
        <v>8308</v>
      </c>
      <c r="R234" s="10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30</v>
      </c>
      <c r="V234">
        <f t="shared" si="23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8">
        <f t="shared" si="19"/>
        <v>0</v>
      </c>
      <c r="Q235" s="10" t="s">
        <v>8308</v>
      </c>
      <c r="R235" s="10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30</v>
      </c>
      <c r="V235">
        <f t="shared" si="23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8">
        <f t="shared" si="19"/>
        <v>80.2</v>
      </c>
      <c r="Q236" s="10" t="s">
        <v>8308</v>
      </c>
      <c r="R236" s="10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40</v>
      </c>
      <c r="V236">
        <f t="shared" si="23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8">
        <f t="shared" si="19"/>
        <v>0</v>
      </c>
      <c r="Q237" s="10" t="s">
        <v>8308</v>
      </c>
      <c r="R237" s="10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30</v>
      </c>
      <c r="V237">
        <f t="shared" si="23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8">
        <f t="shared" si="19"/>
        <v>0</v>
      </c>
      <c r="Q238" s="10" t="s">
        <v>8308</v>
      </c>
      <c r="R238" s="10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53</v>
      </c>
      <c r="V238">
        <f t="shared" si="23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8">
        <f t="shared" si="19"/>
        <v>50</v>
      </c>
      <c r="Q239" s="10" t="s">
        <v>8308</v>
      </c>
      <c r="R239" s="10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60</v>
      </c>
      <c r="V239">
        <f t="shared" si="23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8">
        <f t="shared" si="19"/>
        <v>0</v>
      </c>
      <c r="Q240" s="10" t="s">
        <v>8308</v>
      </c>
      <c r="R240" s="1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</v>
      </c>
      <c r="V240">
        <f t="shared" si="23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8">
        <f t="shared" si="19"/>
        <v>50</v>
      </c>
      <c r="Q241" s="10" t="s">
        <v>8308</v>
      </c>
      <c r="R241" s="10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19</v>
      </c>
      <c r="V241">
        <f t="shared" si="23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8">
        <f t="shared" si="19"/>
        <v>117.85</v>
      </c>
      <c r="Q242" s="10" t="s">
        <v>8308</v>
      </c>
      <c r="R242" s="10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45</v>
      </c>
      <c r="V242">
        <f t="shared" si="23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8">
        <f t="shared" si="19"/>
        <v>109.04</v>
      </c>
      <c r="Q243" s="10" t="s">
        <v>8308</v>
      </c>
      <c r="R243" s="10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45</v>
      </c>
      <c r="V243">
        <f t="shared" si="23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8">
        <f t="shared" si="19"/>
        <v>73.02</v>
      </c>
      <c r="Q244" s="10" t="s">
        <v>8308</v>
      </c>
      <c r="R244" s="10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35</v>
      </c>
      <c r="V244">
        <f t="shared" si="23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8">
        <f t="shared" si="19"/>
        <v>78.2</v>
      </c>
      <c r="Q245" s="10" t="s">
        <v>8308</v>
      </c>
      <c r="R245" s="10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30</v>
      </c>
      <c r="V245">
        <f t="shared" si="23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8">
        <f t="shared" si="19"/>
        <v>47.4</v>
      </c>
      <c r="Q246" s="10" t="s">
        <v>8308</v>
      </c>
      <c r="R246" s="10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40</v>
      </c>
      <c r="V246">
        <f t="shared" si="23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8">
        <f t="shared" si="19"/>
        <v>54.02</v>
      </c>
      <c r="Q247" s="10" t="s">
        <v>8308</v>
      </c>
      <c r="R247" s="10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30</v>
      </c>
      <c r="V247">
        <f t="shared" si="23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8">
        <f t="shared" si="19"/>
        <v>68.489999999999995</v>
      </c>
      <c r="Q248" s="10" t="s">
        <v>8308</v>
      </c>
      <c r="R248" s="10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50</v>
      </c>
      <c r="V248">
        <f t="shared" si="23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8">
        <f t="shared" si="19"/>
        <v>108.15</v>
      </c>
      <c r="Q249" s="10" t="s">
        <v>8308</v>
      </c>
      <c r="R249" s="10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37</v>
      </c>
      <c r="V249">
        <f t="shared" si="23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8">
        <f t="shared" si="19"/>
        <v>589.95000000000005</v>
      </c>
      <c r="Q250" s="10" t="s">
        <v>8308</v>
      </c>
      <c r="R250" s="1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45</v>
      </c>
      <c r="V250">
        <f t="shared" si="23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8">
        <f t="shared" si="19"/>
        <v>48.05</v>
      </c>
      <c r="Q251" s="10" t="s">
        <v>8308</v>
      </c>
      <c r="R251" s="10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80</v>
      </c>
      <c r="V251">
        <f t="shared" si="23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8">
        <f t="shared" si="19"/>
        <v>72.48</v>
      </c>
      <c r="Q252" s="10" t="s">
        <v>8308</v>
      </c>
      <c r="R252" s="10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30</v>
      </c>
      <c r="V252">
        <f t="shared" si="23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8">
        <f t="shared" si="19"/>
        <v>57.08</v>
      </c>
      <c r="Q253" s="10" t="s">
        <v>8308</v>
      </c>
      <c r="R253" s="10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32</v>
      </c>
      <c r="V253">
        <f t="shared" si="23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8">
        <f t="shared" si="19"/>
        <v>85.44</v>
      </c>
      <c r="Q254" s="10" t="s">
        <v>8308</v>
      </c>
      <c r="R254" s="10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64</v>
      </c>
      <c r="V254">
        <f t="shared" si="23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8">
        <f t="shared" si="19"/>
        <v>215.86</v>
      </c>
      <c r="Q255" s="10" t="s">
        <v>8308</v>
      </c>
      <c r="R255" s="10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30</v>
      </c>
      <c r="V255">
        <f t="shared" si="23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8">
        <f t="shared" si="19"/>
        <v>89.39</v>
      </c>
      <c r="Q256" s="10" t="s">
        <v>8308</v>
      </c>
      <c r="R256" s="10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30</v>
      </c>
      <c r="V256">
        <f t="shared" si="23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8">
        <f t="shared" si="19"/>
        <v>45.42</v>
      </c>
      <c r="Q257" s="10" t="s">
        <v>8308</v>
      </c>
      <c r="R257" s="10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30</v>
      </c>
      <c r="V257">
        <f t="shared" si="23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ROUND((E258/D258)*100, 0)</f>
        <v>139</v>
      </c>
      <c r="P258" s="8">
        <f t="shared" ref="P258:P321" si="25">IFERROR(ROUND(E258/L258, 2), 0)</f>
        <v>65.760000000000005</v>
      </c>
      <c r="Q258" s="10" t="s">
        <v>8308</v>
      </c>
      <c r="R258" s="10" t="s">
        <v>8313</v>
      </c>
      <c r="S258" s="16">
        <f t="shared" ref="S258:S321" si="26">(J258/60/60/24)+DATE(1970, 1, 1)</f>
        <v>41319.769293981481</v>
      </c>
      <c r="T258" s="16">
        <f t="shared" ref="T258:T321" si="27">(I258/60/60/24)+DATE(1970, 1, 1)</f>
        <v>41349.769293981481</v>
      </c>
      <c r="U258">
        <f t="shared" si="22"/>
        <v>30</v>
      </c>
      <c r="V258">
        <f t="shared" si="23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 s="8">
        <f t="shared" si="25"/>
        <v>66.7</v>
      </c>
      <c r="Q259" s="10" t="s">
        <v>8308</v>
      </c>
      <c r="R259" s="10" t="s">
        <v>8313</v>
      </c>
      <c r="S259" s="16">
        <f t="shared" si="26"/>
        <v>42479.626875000002</v>
      </c>
      <c r="T259" s="16">
        <f t="shared" si="27"/>
        <v>42509.626875000002</v>
      </c>
      <c r="U259">
        <f t="shared" ref="U259:U322" si="28">ROUND(T259-S259, 0)</f>
        <v>30</v>
      </c>
      <c r="V259">
        <f t="shared" ref="V259:V322" si="29">YEAR($S259)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 s="8">
        <f t="shared" si="25"/>
        <v>83.35</v>
      </c>
      <c r="Q260" s="10" t="s">
        <v>8308</v>
      </c>
      <c r="R260" s="1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30</v>
      </c>
      <c r="V260">
        <f t="shared" si="29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 s="8">
        <f t="shared" si="25"/>
        <v>105.05</v>
      </c>
      <c r="Q261" s="10" t="s">
        <v>8308</v>
      </c>
      <c r="R261" s="10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30</v>
      </c>
      <c r="V261">
        <f t="shared" si="29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 s="8">
        <f t="shared" si="25"/>
        <v>120.91</v>
      </c>
      <c r="Q262" s="10" t="s">
        <v>8308</v>
      </c>
      <c r="R262" s="10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46</v>
      </c>
      <c r="V262">
        <f t="shared" si="2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 s="8">
        <f t="shared" si="25"/>
        <v>97.64</v>
      </c>
      <c r="Q263" s="10" t="s">
        <v>8308</v>
      </c>
      <c r="R263" s="10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50</v>
      </c>
      <c r="V263">
        <f t="shared" si="2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 s="8">
        <f t="shared" si="25"/>
        <v>41.38</v>
      </c>
      <c r="Q264" s="10" t="s">
        <v>8308</v>
      </c>
      <c r="R264" s="10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45</v>
      </c>
      <c r="V264">
        <f t="shared" si="2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 s="8">
        <f t="shared" si="25"/>
        <v>30.65</v>
      </c>
      <c r="Q265" s="10" t="s">
        <v>8308</v>
      </c>
      <c r="R265" s="10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30</v>
      </c>
      <c r="V265">
        <f t="shared" si="2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 s="8">
        <f t="shared" si="25"/>
        <v>64.95</v>
      </c>
      <c r="Q266" s="10" t="s">
        <v>8308</v>
      </c>
      <c r="R266" s="10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30</v>
      </c>
      <c r="V266">
        <f t="shared" si="29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 s="8">
        <f t="shared" si="25"/>
        <v>95.78</v>
      </c>
      <c r="Q267" s="10" t="s">
        <v>8308</v>
      </c>
      <c r="R267" s="10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42</v>
      </c>
      <c r="V267">
        <f t="shared" si="29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 s="8">
        <f t="shared" si="25"/>
        <v>40.42</v>
      </c>
      <c r="Q268" s="10" t="s">
        <v>8308</v>
      </c>
      <c r="R268" s="10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86</v>
      </c>
      <c r="V268">
        <f t="shared" si="2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 s="8">
        <f t="shared" si="25"/>
        <v>78.58</v>
      </c>
      <c r="Q269" s="10" t="s">
        <v>8308</v>
      </c>
      <c r="R269" s="10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30</v>
      </c>
      <c r="V269">
        <f t="shared" si="2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 s="8">
        <f t="shared" si="25"/>
        <v>50.18</v>
      </c>
      <c r="Q270" s="10" t="s">
        <v>8308</v>
      </c>
      <c r="R270" s="1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45</v>
      </c>
      <c r="V270">
        <f t="shared" si="2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 s="8">
        <f t="shared" si="25"/>
        <v>92.25</v>
      </c>
      <c r="Q271" s="10" t="s">
        <v>8308</v>
      </c>
      <c r="R271" s="10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30</v>
      </c>
      <c r="V271">
        <f t="shared" si="2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 s="8">
        <f t="shared" si="25"/>
        <v>57.54</v>
      </c>
      <c r="Q272" s="10" t="s">
        <v>8308</v>
      </c>
      <c r="R272" s="10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50</v>
      </c>
      <c r="V272">
        <f t="shared" si="2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 s="8">
        <f t="shared" si="25"/>
        <v>109.42</v>
      </c>
      <c r="Q273" s="10" t="s">
        <v>8308</v>
      </c>
      <c r="R273" s="10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29</v>
      </c>
      <c r="V273">
        <f t="shared" si="29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 s="8">
        <f t="shared" si="25"/>
        <v>81.89</v>
      </c>
      <c r="Q274" s="10" t="s">
        <v>8308</v>
      </c>
      <c r="R274" s="10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61</v>
      </c>
      <c r="V274">
        <f t="shared" si="2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 s="8">
        <f t="shared" si="25"/>
        <v>45.67</v>
      </c>
      <c r="Q275" s="10" t="s">
        <v>8308</v>
      </c>
      <c r="R275" s="10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30</v>
      </c>
      <c r="V275">
        <f t="shared" si="2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 s="8">
        <f t="shared" si="25"/>
        <v>55.22</v>
      </c>
      <c r="Q276" s="10" t="s">
        <v>8308</v>
      </c>
      <c r="R276" s="10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34</v>
      </c>
      <c r="V276">
        <f t="shared" si="2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 s="8">
        <f t="shared" si="25"/>
        <v>65.3</v>
      </c>
      <c r="Q277" s="10" t="s">
        <v>8308</v>
      </c>
      <c r="R277" s="10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30</v>
      </c>
      <c r="V277">
        <f t="shared" si="2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 s="8">
        <f t="shared" si="25"/>
        <v>95.23</v>
      </c>
      <c r="Q278" s="10" t="s">
        <v>8308</v>
      </c>
      <c r="R278" s="10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60</v>
      </c>
      <c r="V278">
        <f t="shared" si="2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 s="8">
        <f t="shared" si="25"/>
        <v>75.44</v>
      </c>
      <c r="Q279" s="10" t="s">
        <v>8308</v>
      </c>
      <c r="R279" s="10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30</v>
      </c>
      <c r="V279">
        <f t="shared" si="2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 s="8">
        <f t="shared" si="25"/>
        <v>97.82</v>
      </c>
      <c r="Q280" s="10" t="s">
        <v>8308</v>
      </c>
      <c r="R280" s="1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30</v>
      </c>
      <c r="V280">
        <f t="shared" si="2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 s="8">
        <f t="shared" si="25"/>
        <v>87.69</v>
      </c>
      <c r="Q281" s="10" t="s">
        <v>8308</v>
      </c>
      <c r="R281" s="10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34</v>
      </c>
      <c r="V281">
        <f t="shared" si="2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 s="8">
        <f t="shared" si="25"/>
        <v>54.75</v>
      </c>
      <c r="Q282" s="10" t="s">
        <v>8308</v>
      </c>
      <c r="R282" s="10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45</v>
      </c>
      <c r="V282">
        <f t="shared" si="2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 s="8">
        <f t="shared" si="25"/>
        <v>83.95</v>
      </c>
      <c r="Q283" s="10" t="s">
        <v>8308</v>
      </c>
      <c r="R283" s="10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86</v>
      </c>
      <c r="V283">
        <f t="shared" si="2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 s="8">
        <f t="shared" si="25"/>
        <v>254.39</v>
      </c>
      <c r="Q284" s="10" t="s">
        <v>8308</v>
      </c>
      <c r="R284" s="10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37</v>
      </c>
      <c r="V284">
        <f t="shared" si="2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 s="8">
        <f t="shared" si="25"/>
        <v>101.83</v>
      </c>
      <c r="Q285" s="10" t="s">
        <v>8308</v>
      </c>
      <c r="R285" s="10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19</v>
      </c>
      <c r="V285">
        <f t="shared" si="2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 s="8">
        <f t="shared" si="25"/>
        <v>55.07</v>
      </c>
      <c r="Q286" s="10" t="s">
        <v>8308</v>
      </c>
      <c r="R286" s="10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25</v>
      </c>
      <c r="V286">
        <f t="shared" si="29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 s="8">
        <f t="shared" si="25"/>
        <v>56.9</v>
      </c>
      <c r="Q287" s="10" t="s">
        <v>8308</v>
      </c>
      <c r="R287" s="10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30</v>
      </c>
      <c r="V287">
        <f t="shared" si="2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 s="8">
        <f t="shared" si="25"/>
        <v>121.28</v>
      </c>
      <c r="Q288" s="10" t="s">
        <v>8308</v>
      </c>
      <c r="R288" s="10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45</v>
      </c>
      <c r="V288">
        <f t="shared" si="2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 s="8">
        <f t="shared" si="25"/>
        <v>91.19</v>
      </c>
      <c r="Q289" s="10" t="s">
        <v>8308</v>
      </c>
      <c r="R289" s="10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31</v>
      </c>
      <c r="V289">
        <f t="shared" si="29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 s="8">
        <f t="shared" si="25"/>
        <v>115.45</v>
      </c>
      <c r="Q290" s="10" t="s">
        <v>8308</v>
      </c>
      <c r="R290" s="1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35</v>
      </c>
      <c r="V290">
        <f t="shared" si="2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 s="8">
        <f t="shared" si="25"/>
        <v>67.77</v>
      </c>
      <c r="Q291" s="10" t="s">
        <v>8308</v>
      </c>
      <c r="R291" s="10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30</v>
      </c>
      <c r="V291">
        <f t="shared" si="2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 s="8">
        <f t="shared" si="25"/>
        <v>28.58</v>
      </c>
      <c r="Q292" s="10" t="s">
        <v>8308</v>
      </c>
      <c r="R292" s="10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50</v>
      </c>
      <c r="V292">
        <f t="shared" si="29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 s="8">
        <f t="shared" si="25"/>
        <v>46.88</v>
      </c>
      <c r="Q293" s="10" t="s">
        <v>8308</v>
      </c>
      <c r="R293" s="10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18</v>
      </c>
      <c r="V293">
        <f t="shared" si="29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 s="8">
        <f t="shared" si="25"/>
        <v>154.41999999999999</v>
      </c>
      <c r="Q294" s="10" t="s">
        <v>8308</v>
      </c>
      <c r="R294" s="10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32</v>
      </c>
      <c r="V294">
        <f t="shared" si="2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 s="8">
        <f t="shared" si="25"/>
        <v>201.22</v>
      </c>
      <c r="Q295" s="10" t="s">
        <v>8308</v>
      </c>
      <c r="R295" s="10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30</v>
      </c>
      <c r="V295">
        <f t="shared" si="29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 s="8">
        <f t="shared" si="25"/>
        <v>100</v>
      </c>
      <c r="Q296" s="10" t="s">
        <v>8308</v>
      </c>
      <c r="R296" s="10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36</v>
      </c>
      <c r="V296">
        <f t="shared" si="2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 s="8">
        <f t="shared" si="25"/>
        <v>100.08</v>
      </c>
      <c r="Q297" s="10" t="s">
        <v>8308</v>
      </c>
      <c r="R297" s="10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60</v>
      </c>
      <c r="V297">
        <f t="shared" si="2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 s="8">
        <f t="shared" si="25"/>
        <v>230.09</v>
      </c>
      <c r="Q298" s="10" t="s">
        <v>8308</v>
      </c>
      <c r="R298" s="10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25</v>
      </c>
      <c r="V298">
        <f t="shared" si="2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 s="8">
        <f t="shared" si="25"/>
        <v>141.75</v>
      </c>
      <c r="Q299" s="10" t="s">
        <v>8308</v>
      </c>
      <c r="R299" s="10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35</v>
      </c>
      <c r="V299">
        <f t="shared" si="29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 s="8">
        <f t="shared" si="25"/>
        <v>56.34</v>
      </c>
      <c r="Q300" s="10" t="s">
        <v>8308</v>
      </c>
      <c r="R300" s="1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59</v>
      </c>
      <c r="V300">
        <f t="shared" si="29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 s="8">
        <f t="shared" si="25"/>
        <v>73.34</v>
      </c>
      <c r="Q301" s="10" t="s">
        <v>8308</v>
      </c>
      <c r="R301" s="10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30</v>
      </c>
      <c r="V301">
        <f t="shared" si="2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 s="8">
        <f t="shared" si="25"/>
        <v>85.34</v>
      </c>
      <c r="Q302" s="10" t="s">
        <v>8308</v>
      </c>
      <c r="R302" s="10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31</v>
      </c>
      <c r="V302">
        <f t="shared" si="2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 s="8">
        <f t="shared" si="25"/>
        <v>61.5</v>
      </c>
      <c r="Q303" s="10" t="s">
        <v>8308</v>
      </c>
      <c r="R303" s="10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40</v>
      </c>
      <c r="V303">
        <f t="shared" si="29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 s="8">
        <f t="shared" si="25"/>
        <v>93.02</v>
      </c>
      <c r="Q304" s="10" t="s">
        <v>8308</v>
      </c>
      <c r="R304" s="10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30</v>
      </c>
      <c r="V304">
        <f t="shared" si="2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 s="8">
        <f t="shared" si="25"/>
        <v>50.29</v>
      </c>
      <c r="Q305" s="10" t="s">
        <v>8308</v>
      </c>
      <c r="R305" s="10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30</v>
      </c>
      <c r="V305">
        <f t="shared" si="2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 s="8">
        <f t="shared" si="25"/>
        <v>106.43</v>
      </c>
      <c r="Q306" s="10" t="s">
        <v>8308</v>
      </c>
      <c r="R306" s="10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39</v>
      </c>
      <c r="V306">
        <f t="shared" si="29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 s="8">
        <f t="shared" si="25"/>
        <v>51.72</v>
      </c>
      <c r="Q307" s="10" t="s">
        <v>8308</v>
      </c>
      <c r="R307" s="10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30</v>
      </c>
      <c r="V307">
        <f t="shared" si="2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 s="8">
        <f t="shared" si="25"/>
        <v>36.61</v>
      </c>
      <c r="Q308" s="10" t="s">
        <v>8308</v>
      </c>
      <c r="R308" s="10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</v>
      </c>
      <c r="V308">
        <f t="shared" si="2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 s="8">
        <f t="shared" si="25"/>
        <v>42.52</v>
      </c>
      <c r="Q309" s="10" t="s">
        <v>8308</v>
      </c>
      <c r="R309" s="10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30</v>
      </c>
      <c r="V309">
        <f t="shared" si="2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 s="8">
        <f t="shared" si="25"/>
        <v>62.71</v>
      </c>
      <c r="Q310" s="10" t="s">
        <v>8308</v>
      </c>
      <c r="R310" s="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45</v>
      </c>
      <c r="V310">
        <f t="shared" si="2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 s="8">
        <f t="shared" si="25"/>
        <v>89.96</v>
      </c>
      <c r="Q311" s="10" t="s">
        <v>8308</v>
      </c>
      <c r="R311" s="10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21</v>
      </c>
      <c r="V311">
        <f t="shared" si="2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 s="8">
        <f t="shared" si="25"/>
        <v>28.92</v>
      </c>
      <c r="Q312" s="10" t="s">
        <v>8308</v>
      </c>
      <c r="R312" s="10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15</v>
      </c>
      <c r="V312">
        <f t="shared" si="29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 s="8">
        <f t="shared" si="25"/>
        <v>138.80000000000001</v>
      </c>
      <c r="Q313" s="10" t="s">
        <v>8308</v>
      </c>
      <c r="R313" s="10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41</v>
      </c>
      <c r="V313">
        <f t="shared" si="29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 s="8">
        <f t="shared" si="25"/>
        <v>61.3</v>
      </c>
      <c r="Q314" s="10" t="s">
        <v>8308</v>
      </c>
      <c r="R314" s="10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30</v>
      </c>
      <c r="V314">
        <f t="shared" si="29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 s="8">
        <f t="shared" si="25"/>
        <v>80.2</v>
      </c>
      <c r="Q315" s="10" t="s">
        <v>8308</v>
      </c>
      <c r="R315" s="10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44</v>
      </c>
      <c r="V315">
        <f t="shared" si="2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 s="8">
        <f t="shared" si="25"/>
        <v>32.1</v>
      </c>
      <c r="Q316" s="10" t="s">
        <v>8308</v>
      </c>
      <c r="R316" s="10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30</v>
      </c>
      <c r="V316">
        <f t="shared" si="2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 s="8">
        <f t="shared" si="25"/>
        <v>200.89</v>
      </c>
      <c r="Q317" s="10" t="s">
        <v>8308</v>
      </c>
      <c r="R317" s="10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30</v>
      </c>
      <c r="V317">
        <f t="shared" si="2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 s="8">
        <f t="shared" si="25"/>
        <v>108.01</v>
      </c>
      <c r="Q318" s="10" t="s">
        <v>8308</v>
      </c>
      <c r="R318" s="10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33</v>
      </c>
      <c r="V318">
        <f t="shared" si="29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 s="8">
        <f t="shared" si="25"/>
        <v>95.7</v>
      </c>
      <c r="Q319" s="10" t="s">
        <v>8308</v>
      </c>
      <c r="R319" s="10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30</v>
      </c>
      <c r="V319">
        <f t="shared" si="2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 s="8">
        <f t="shared" si="25"/>
        <v>49.88</v>
      </c>
      <c r="Q320" s="10" t="s">
        <v>8308</v>
      </c>
      <c r="R320" s="1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30</v>
      </c>
      <c r="V320">
        <f t="shared" si="29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 s="8">
        <f t="shared" si="25"/>
        <v>110.47</v>
      </c>
      <c r="Q321" s="10" t="s">
        <v>8308</v>
      </c>
      <c r="R321" s="10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87</v>
      </c>
      <c r="V321">
        <f t="shared" si="29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ROUND((E322/D322)*100, 0)</f>
        <v>107</v>
      </c>
      <c r="P322" s="8">
        <f t="shared" ref="P322:P385" si="31">IFERROR(ROUND(E322/L322, 2), 0)</f>
        <v>134.91</v>
      </c>
      <c r="Q322" s="10" t="s">
        <v>8308</v>
      </c>
      <c r="R322" s="10" t="s">
        <v>8313</v>
      </c>
      <c r="S322" s="16">
        <f t="shared" ref="S322:S385" si="32">(J322/60/60/24)+DATE(1970, 1, 1)</f>
        <v>42331.551307870366</v>
      </c>
      <c r="T322" s="16">
        <f t="shared" ref="T322:T385" si="33">(I322/60/60/24)+DATE(1970, 1, 1)</f>
        <v>42360.958333333328</v>
      </c>
      <c r="U322">
        <f t="shared" si="28"/>
        <v>29</v>
      </c>
      <c r="V322">
        <f t="shared" si="29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 s="8">
        <f t="shared" si="31"/>
        <v>106.62</v>
      </c>
      <c r="Q323" s="10" t="s">
        <v>8308</v>
      </c>
      <c r="R323" s="10" t="s">
        <v>8313</v>
      </c>
      <c r="S323" s="16">
        <f t="shared" si="32"/>
        <v>42647.446597222224</v>
      </c>
      <c r="T323" s="16">
        <f t="shared" si="33"/>
        <v>42682.488263888896</v>
      </c>
      <c r="U323">
        <f t="shared" ref="U323:U386" si="34">ROUND(T323-S323, 0)</f>
        <v>35</v>
      </c>
      <c r="V323">
        <f t="shared" ref="V323:V386" si="35">YEAR($S323)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 s="8">
        <f t="shared" si="31"/>
        <v>145.04</v>
      </c>
      <c r="Q324" s="10" t="s">
        <v>8308</v>
      </c>
      <c r="R324" s="10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30</v>
      </c>
      <c r="V324">
        <f t="shared" si="35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 s="8">
        <f t="shared" si="31"/>
        <v>114.59</v>
      </c>
      <c r="Q325" s="10" t="s">
        <v>8308</v>
      </c>
      <c r="R325" s="10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28</v>
      </c>
      <c r="V325">
        <f t="shared" si="35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 s="8">
        <f t="shared" si="31"/>
        <v>105.32</v>
      </c>
      <c r="Q326" s="10" t="s">
        <v>8308</v>
      </c>
      <c r="R326" s="10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33</v>
      </c>
      <c r="V326">
        <f t="shared" si="35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 s="8">
        <f t="shared" si="31"/>
        <v>70.92</v>
      </c>
      <c r="Q327" s="10" t="s">
        <v>8308</v>
      </c>
      <c r="R327" s="10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35</v>
      </c>
      <c r="V327">
        <f t="shared" si="35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 s="8">
        <f t="shared" si="31"/>
        <v>147.16999999999999</v>
      </c>
      <c r="Q328" s="10" t="s">
        <v>8308</v>
      </c>
      <c r="R328" s="10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34</v>
      </c>
      <c r="V328">
        <f t="shared" si="35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 s="8">
        <f t="shared" si="31"/>
        <v>160.47</v>
      </c>
      <c r="Q329" s="10" t="s">
        <v>8308</v>
      </c>
      <c r="R329" s="10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27</v>
      </c>
      <c r="V329">
        <f t="shared" si="35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 s="8">
        <f t="shared" si="31"/>
        <v>156.05000000000001</v>
      </c>
      <c r="Q330" s="10" t="s">
        <v>8308</v>
      </c>
      <c r="R330" s="1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30</v>
      </c>
      <c r="V330">
        <f t="shared" si="35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 s="8">
        <f t="shared" si="31"/>
        <v>63.17</v>
      </c>
      <c r="Q331" s="10" t="s">
        <v>8308</v>
      </c>
      <c r="R331" s="10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24</v>
      </c>
      <c r="V331">
        <f t="shared" si="35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 s="8">
        <f t="shared" si="31"/>
        <v>104.82</v>
      </c>
      <c r="Q332" s="10" t="s">
        <v>8308</v>
      </c>
      <c r="R332" s="10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32</v>
      </c>
      <c r="V332">
        <f t="shared" si="35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 s="8">
        <f t="shared" si="31"/>
        <v>97.36</v>
      </c>
      <c r="Q333" s="10" t="s">
        <v>8308</v>
      </c>
      <c r="R333" s="10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31</v>
      </c>
      <c r="V333">
        <f t="shared" si="35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 s="8">
        <f t="shared" si="31"/>
        <v>203.63</v>
      </c>
      <c r="Q334" s="10" t="s">
        <v>8308</v>
      </c>
      <c r="R334" s="10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42</v>
      </c>
      <c r="V334">
        <f t="shared" si="35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 s="8">
        <f t="shared" si="31"/>
        <v>188.31</v>
      </c>
      <c r="Q335" s="10" t="s">
        <v>8308</v>
      </c>
      <c r="R335" s="10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30</v>
      </c>
      <c r="V335">
        <f t="shared" si="35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 s="8">
        <f t="shared" si="31"/>
        <v>146.65</v>
      </c>
      <c r="Q336" s="10" t="s">
        <v>8308</v>
      </c>
      <c r="R336" s="10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38</v>
      </c>
      <c r="V336">
        <f t="shared" si="35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 s="8">
        <f t="shared" si="31"/>
        <v>109.19</v>
      </c>
      <c r="Q337" s="10" t="s">
        <v>8308</v>
      </c>
      <c r="R337" s="10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31</v>
      </c>
      <c r="V337">
        <f t="shared" si="35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 s="8">
        <f t="shared" si="31"/>
        <v>59.25</v>
      </c>
      <c r="Q338" s="10" t="s">
        <v>8308</v>
      </c>
      <c r="R338" s="10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30</v>
      </c>
      <c r="V338">
        <f t="shared" si="35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 s="8">
        <f t="shared" si="31"/>
        <v>97.9</v>
      </c>
      <c r="Q339" s="10" t="s">
        <v>8308</v>
      </c>
      <c r="R339" s="10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30</v>
      </c>
      <c r="V339">
        <f t="shared" si="35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 s="8">
        <f t="shared" si="31"/>
        <v>70</v>
      </c>
      <c r="Q340" s="10" t="s">
        <v>8308</v>
      </c>
      <c r="R340" s="1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56</v>
      </c>
      <c r="V340">
        <f t="shared" si="35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 s="8">
        <f t="shared" si="31"/>
        <v>72.87</v>
      </c>
      <c r="Q341" s="10" t="s">
        <v>8308</v>
      </c>
      <c r="R341" s="10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30</v>
      </c>
      <c r="V341">
        <f t="shared" si="35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 s="8">
        <f t="shared" si="31"/>
        <v>146.35</v>
      </c>
      <c r="Q342" s="10" t="s">
        <v>8308</v>
      </c>
      <c r="R342" s="10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30</v>
      </c>
      <c r="V342">
        <f t="shared" si="35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 s="8">
        <f t="shared" si="31"/>
        <v>67.91</v>
      </c>
      <c r="Q343" s="10" t="s">
        <v>8308</v>
      </c>
      <c r="R343" s="10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18</v>
      </c>
      <c r="V343">
        <f t="shared" si="35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 s="8">
        <f t="shared" si="31"/>
        <v>169.85</v>
      </c>
      <c r="Q344" s="10" t="s">
        <v>8308</v>
      </c>
      <c r="R344" s="10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30</v>
      </c>
      <c r="V344">
        <f t="shared" si="35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 s="8">
        <f t="shared" si="31"/>
        <v>58.41</v>
      </c>
      <c r="Q345" s="10" t="s">
        <v>8308</v>
      </c>
      <c r="R345" s="10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30</v>
      </c>
      <c r="V345">
        <f t="shared" si="35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 s="8">
        <f t="shared" si="31"/>
        <v>119.99</v>
      </c>
      <c r="Q346" s="10" t="s">
        <v>8308</v>
      </c>
      <c r="R346" s="10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44</v>
      </c>
      <c r="V346">
        <f t="shared" si="35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 s="8">
        <f t="shared" si="31"/>
        <v>99.86</v>
      </c>
      <c r="Q347" s="10" t="s">
        <v>8308</v>
      </c>
      <c r="R347" s="10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30</v>
      </c>
      <c r="V347">
        <f t="shared" si="35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 s="8">
        <f t="shared" si="31"/>
        <v>90.58</v>
      </c>
      <c r="Q348" s="10" t="s">
        <v>8308</v>
      </c>
      <c r="R348" s="10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30</v>
      </c>
      <c r="V348">
        <f t="shared" si="35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 s="8">
        <f t="shared" si="31"/>
        <v>117.77</v>
      </c>
      <c r="Q349" s="10" t="s">
        <v>8308</v>
      </c>
      <c r="R349" s="10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30</v>
      </c>
      <c r="V349">
        <f t="shared" si="35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 s="8">
        <f t="shared" si="31"/>
        <v>86.55</v>
      </c>
      <c r="Q350" s="10" t="s">
        <v>8308</v>
      </c>
      <c r="R350" s="1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30</v>
      </c>
      <c r="V350">
        <f t="shared" si="35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 s="8">
        <f t="shared" si="31"/>
        <v>71.900000000000006</v>
      </c>
      <c r="Q351" s="10" t="s">
        <v>8308</v>
      </c>
      <c r="R351" s="10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30</v>
      </c>
      <c r="V351">
        <f t="shared" si="35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 s="8">
        <f t="shared" si="31"/>
        <v>129.82</v>
      </c>
      <c r="Q352" s="10" t="s">
        <v>8308</v>
      </c>
      <c r="R352" s="10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38</v>
      </c>
      <c r="V352">
        <f t="shared" si="35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 s="8">
        <f t="shared" si="31"/>
        <v>44.91</v>
      </c>
      <c r="Q353" s="10" t="s">
        <v>8308</v>
      </c>
      <c r="R353" s="10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40</v>
      </c>
      <c r="V353">
        <f t="shared" si="35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 s="8">
        <f t="shared" si="31"/>
        <v>40.76</v>
      </c>
      <c r="Q354" s="10" t="s">
        <v>8308</v>
      </c>
      <c r="R354" s="10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30</v>
      </c>
      <c r="V354">
        <f t="shared" si="35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 s="8">
        <f t="shared" si="31"/>
        <v>103.52</v>
      </c>
      <c r="Q355" s="10" t="s">
        <v>8308</v>
      </c>
      <c r="R355" s="10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30</v>
      </c>
      <c r="V355">
        <f t="shared" si="35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 s="8">
        <f t="shared" si="31"/>
        <v>125.45</v>
      </c>
      <c r="Q356" s="10" t="s">
        <v>8308</v>
      </c>
      <c r="R356" s="10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30</v>
      </c>
      <c r="V356">
        <f t="shared" si="35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 s="8">
        <f t="shared" si="31"/>
        <v>246.61</v>
      </c>
      <c r="Q357" s="10" t="s">
        <v>8308</v>
      </c>
      <c r="R357" s="10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31</v>
      </c>
      <c r="V357">
        <f t="shared" si="35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 s="8">
        <f t="shared" si="31"/>
        <v>79.400000000000006</v>
      </c>
      <c r="Q358" s="10" t="s">
        <v>8308</v>
      </c>
      <c r="R358" s="10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30</v>
      </c>
      <c r="V358">
        <f t="shared" si="35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 s="8">
        <f t="shared" si="31"/>
        <v>86.14</v>
      </c>
      <c r="Q359" s="10" t="s">
        <v>8308</v>
      </c>
      <c r="R359" s="10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40</v>
      </c>
      <c r="V359">
        <f t="shared" si="35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 s="8">
        <f t="shared" si="31"/>
        <v>193.05</v>
      </c>
      <c r="Q360" s="10" t="s">
        <v>8308</v>
      </c>
      <c r="R360" s="1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29</v>
      </c>
      <c r="V360">
        <f t="shared" si="35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 s="8">
        <f t="shared" si="31"/>
        <v>84.02</v>
      </c>
      <c r="Q361" s="10" t="s">
        <v>8308</v>
      </c>
      <c r="R361" s="10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22</v>
      </c>
      <c r="V361">
        <f t="shared" si="35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 s="8">
        <f t="shared" si="31"/>
        <v>139.83000000000001</v>
      </c>
      <c r="Q362" s="10" t="s">
        <v>8308</v>
      </c>
      <c r="R362" s="10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44</v>
      </c>
      <c r="V362">
        <f t="shared" si="35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 s="8">
        <f t="shared" si="31"/>
        <v>109.82</v>
      </c>
      <c r="Q363" s="10" t="s">
        <v>8308</v>
      </c>
      <c r="R363" s="10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30</v>
      </c>
      <c r="V363">
        <f t="shared" si="35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 s="8">
        <f t="shared" si="31"/>
        <v>139.53</v>
      </c>
      <c r="Q364" s="10" t="s">
        <v>8308</v>
      </c>
      <c r="R364" s="10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22</v>
      </c>
      <c r="V364">
        <f t="shared" si="35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 s="8">
        <f t="shared" si="31"/>
        <v>347.85</v>
      </c>
      <c r="Q365" s="10" t="s">
        <v>8308</v>
      </c>
      <c r="R365" s="10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45</v>
      </c>
      <c r="V365">
        <f t="shared" si="35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 s="8">
        <f t="shared" si="31"/>
        <v>68.239999999999995</v>
      </c>
      <c r="Q366" s="10" t="s">
        <v>8308</v>
      </c>
      <c r="R366" s="10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30</v>
      </c>
      <c r="V366">
        <f t="shared" si="35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 s="8">
        <f t="shared" si="31"/>
        <v>239.94</v>
      </c>
      <c r="Q367" s="10" t="s">
        <v>8308</v>
      </c>
      <c r="R367" s="10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30</v>
      </c>
      <c r="V367">
        <f t="shared" si="35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 s="8">
        <f t="shared" si="31"/>
        <v>287.31</v>
      </c>
      <c r="Q368" s="10" t="s">
        <v>8308</v>
      </c>
      <c r="R368" s="10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30</v>
      </c>
      <c r="V368">
        <f t="shared" si="35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 s="8">
        <f t="shared" si="31"/>
        <v>86.85</v>
      </c>
      <c r="Q369" s="10" t="s">
        <v>8308</v>
      </c>
      <c r="R369" s="10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40</v>
      </c>
      <c r="V369">
        <f t="shared" si="35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 s="8">
        <f t="shared" si="31"/>
        <v>81.849999999999994</v>
      </c>
      <c r="Q370" s="10" t="s">
        <v>8308</v>
      </c>
      <c r="R370" s="1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35</v>
      </c>
      <c r="V370">
        <f t="shared" si="35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 s="8">
        <f t="shared" si="31"/>
        <v>42.87</v>
      </c>
      <c r="Q371" s="10" t="s">
        <v>8308</v>
      </c>
      <c r="R371" s="10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30</v>
      </c>
      <c r="V371">
        <f t="shared" si="35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 s="8">
        <f t="shared" si="31"/>
        <v>709.42</v>
      </c>
      <c r="Q372" s="10" t="s">
        <v>8308</v>
      </c>
      <c r="R372" s="10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30</v>
      </c>
      <c r="V372">
        <f t="shared" si="35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 s="8">
        <f t="shared" si="31"/>
        <v>161.26</v>
      </c>
      <c r="Q373" s="10" t="s">
        <v>8308</v>
      </c>
      <c r="R373" s="10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45</v>
      </c>
      <c r="V373">
        <f t="shared" si="35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 s="8">
        <f t="shared" si="31"/>
        <v>41.78</v>
      </c>
      <c r="Q374" s="10" t="s">
        <v>8308</v>
      </c>
      <c r="R374" s="10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40</v>
      </c>
      <c r="V374">
        <f t="shared" si="35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 s="8">
        <f t="shared" si="31"/>
        <v>89.89</v>
      </c>
      <c r="Q375" s="10" t="s">
        <v>8308</v>
      </c>
      <c r="R375" s="10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30</v>
      </c>
      <c r="V375">
        <f t="shared" si="35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 s="8">
        <f t="shared" si="31"/>
        <v>45.05</v>
      </c>
      <c r="Q376" s="10" t="s">
        <v>8308</v>
      </c>
      <c r="R376" s="10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45</v>
      </c>
      <c r="V376">
        <f t="shared" si="35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 s="8">
        <f t="shared" si="31"/>
        <v>42.86</v>
      </c>
      <c r="Q377" s="10" t="s">
        <v>8308</v>
      </c>
      <c r="R377" s="10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42</v>
      </c>
      <c r="V377">
        <f t="shared" si="35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 s="8">
        <f t="shared" si="31"/>
        <v>54.08</v>
      </c>
      <c r="Q378" s="10" t="s">
        <v>8308</v>
      </c>
      <c r="R378" s="10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31</v>
      </c>
      <c r="V378">
        <f t="shared" si="35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 s="8">
        <f t="shared" si="31"/>
        <v>103.22</v>
      </c>
      <c r="Q379" s="10" t="s">
        <v>8308</v>
      </c>
      <c r="R379" s="10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30</v>
      </c>
      <c r="V379">
        <f t="shared" si="35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 s="8">
        <f t="shared" si="31"/>
        <v>40.4</v>
      </c>
      <c r="Q380" s="10" t="s">
        <v>8308</v>
      </c>
      <c r="R380" s="1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24</v>
      </c>
      <c r="V380">
        <f t="shared" si="35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 s="8">
        <f t="shared" si="31"/>
        <v>116.86</v>
      </c>
      <c r="Q381" s="10" t="s">
        <v>8308</v>
      </c>
      <c r="R381" s="10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45</v>
      </c>
      <c r="V381">
        <f t="shared" si="35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 s="8">
        <f t="shared" si="31"/>
        <v>115.51</v>
      </c>
      <c r="Q382" s="10" t="s">
        <v>8308</v>
      </c>
      <c r="R382" s="10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25</v>
      </c>
      <c r="V382">
        <f t="shared" si="35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 s="8">
        <f t="shared" si="31"/>
        <v>104.31</v>
      </c>
      <c r="Q383" s="10" t="s">
        <v>8308</v>
      </c>
      <c r="R383" s="10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35</v>
      </c>
      <c r="V383">
        <f t="shared" si="35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 s="8">
        <f t="shared" si="31"/>
        <v>69.77</v>
      </c>
      <c r="Q384" s="10" t="s">
        <v>8308</v>
      </c>
      <c r="R384" s="10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14</v>
      </c>
      <c r="V384">
        <f t="shared" si="35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 s="8">
        <f t="shared" si="31"/>
        <v>43.02</v>
      </c>
      <c r="Q385" s="10" t="s">
        <v>8308</v>
      </c>
      <c r="R385" s="10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23</v>
      </c>
      <c r="V385">
        <f t="shared" si="35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ROUND((E386/D386)*100, 0)</f>
        <v>112</v>
      </c>
      <c r="P386" s="8">
        <f t="shared" ref="P386:P449" si="37">IFERROR(ROUND(E386/L386, 2), 0)</f>
        <v>58.54</v>
      </c>
      <c r="Q386" s="10" t="s">
        <v>8308</v>
      </c>
      <c r="R386" s="10" t="s">
        <v>8313</v>
      </c>
      <c r="S386" s="16">
        <f t="shared" ref="S386:S449" si="38">(J386/60/60/24)+DATE(1970, 1, 1)</f>
        <v>41980.781793981485</v>
      </c>
      <c r="T386" s="16">
        <f t="shared" ref="T386:T449" si="39">(I386/60/60/24)+DATE(1970, 1, 1)</f>
        <v>42010.781793981485</v>
      </c>
      <c r="U386">
        <f t="shared" si="34"/>
        <v>30</v>
      </c>
      <c r="V386">
        <f t="shared" si="35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 s="8">
        <f t="shared" si="37"/>
        <v>111.8</v>
      </c>
      <c r="Q387" s="10" t="s">
        <v>8308</v>
      </c>
      <c r="R387" s="10" t="s">
        <v>8313</v>
      </c>
      <c r="S387" s="16">
        <f t="shared" si="38"/>
        <v>41934.584502314814</v>
      </c>
      <c r="T387" s="16">
        <f t="shared" si="39"/>
        <v>41964.626168981486</v>
      </c>
      <c r="U387">
        <f t="shared" ref="U387:U450" si="40">ROUND(T387-S387, 0)</f>
        <v>30</v>
      </c>
      <c r="V387">
        <f t="shared" ref="V387:V450" si="41">YEAR($S387)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 s="8">
        <f t="shared" si="37"/>
        <v>46.23</v>
      </c>
      <c r="Q388" s="10" t="s">
        <v>8308</v>
      </c>
      <c r="R388" s="10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15</v>
      </c>
      <c r="V388">
        <f t="shared" si="41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 s="8">
        <f t="shared" si="37"/>
        <v>144.69</v>
      </c>
      <c r="Q389" s="10" t="s">
        <v>8308</v>
      </c>
      <c r="R389" s="10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31</v>
      </c>
      <c r="V389">
        <f t="shared" si="41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 s="8">
        <f t="shared" si="37"/>
        <v>88.85</v>
      </c>
      <c r="Q390" s="10" t="s">
        <v>8308</v>
      </c>
      <c r="R390" s="1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30</v>
      </c>
      <c r="V390">
        <f t="shared" si="41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 s="8">
        <f t="shared" si="37"/>
        <v>81.75</v>
      </c>
      <c r="Q391" s="10" t="s">
        <v>8308</v>
      </c>
      <c r="R391" s="10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32</v>
      </c>
      <c r="V391">
        <f t="shared" si="41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 s="8">
        <f t="shared" si="37"/>
        <v>71.430000000000007</v>
      </c>
      <c r="Q392" s="10" t="s">
        <v>8308</v>
      </c>
      <c r="R392" s="10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</v>
      </c>
      <c r="V392">
        <f t="shared" si="41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 s="8">
        <f t="shared" si="37"/>
        <v>104.26</v>
      </c>
      <c r="Q393" s="10" t="s">
        <v>8308</v>
      </c>
      <c r="R393" s="10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30</v>
      </c>
      <c r="V393">
        <f t="shared" si="41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 s="8">
        <f t="shared" si="37"/>
        <v>90.62</v>
      </c>
      <c r="Q394" s="10" t="s">
        <v>8308</v>
      </c>
      <c r="R394" s="10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30</v>
      </c>
      <c r="V394">
        <f t="shared" si="41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 s="8">
        <f t="shared" si="37"/>
        <v>157.33000000000001</v>
      </c>
      <c r="Q395" s="10" t="s">
        <v>8308</v>
      </c>
      <c r="R395" s="10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31</v>
      </c>
      <c r="V395">
        <f t="shared" si="41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 s="8">
        <f t="shared" si="37"/>
        <v>105.18</v>
      </c>
      <c r="Q396" s="10" t="s">
        <v>8308</v>
      </c>
      <c r="R396" s="10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60</v>
      </c>
      <c r="V396">
        <f t="shared" si="41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 s="8">
        <f t="shared" si="37"/>
        <v>58.72</v>
      </c>
      <c r="Q397" s="10" t="s">
        <v>8308</v>
      </c>
      <c r="R397" s="10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36</v>
      </c>
      <c r="V397">
        <f t="shared" si="41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 s="8">
        <f t="shared" si="37"/>
        <v>81.63</v>
      </c>
      <c r="Q398" s="10" t="s">
        <v>8308</v>
      </c>
      <c r="R398" s="10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15</v>
      </c>
      <c r="V398">
        <f t="shared" si="41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 s="8">
        <f t="shared" si="37"/>
        <v>56.46</v>
      </c>
      <c r="Q399" s="10" t="s">
        <v>8308</v>
      </c>
      <c r="R399" s="10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42</v>
      </c>
      <c r="V399">
        <f t="shared" si="41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 s="8">
        <f t="shared" si="37"/>
        <v>140.1</v>
      </c>
      <c r="Q400" s="10" t="s">
        <v>8308</v>
      </c>
      <c r="R400" s="1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45</v>
      </c>
      <c r="V400">
        <f t="shared" si="41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 s="8">
        <f t="shared" si="37"/>
        <v>224.85</v>
      </c>
      <c r="Q401" s="10" t="s">
        <v>8308</v>
      </c>
      <c r="R401" s="10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31</v>
      </c>
      <c r="V401">
        <f t="shared" si="41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 s="8">
        <f t="shared" si="37"/>
        <v>181.13</v>
      </c>
      <c r="Q402" s="10" t="s">
        <v>8308</v>
      </c>
      <c r="R402" s="10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31</v>
      </c>
      <c r="V402">
        <f t="shared" si="41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 s="8">
        <f t="shared" si="37"/>
        <v>711.04</v>
      </c>
      <c r="Q403" s="10" t="s">
        <v>8308</v>
      </c>
      <c r="R403" s="10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30</v>
      </c>
      <c r="V403">
        <f t="shared" si="41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 s="8">
        <f t="shared" si="37"/>
        <v>65.88</v>
      </c>
      <c r="Q404" s="10" t="s">
        <v>8308</v>
      </c>
      <c r="R404" s="10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21</v>
      </c>
      <c r="V404">
        <f t="shared" si="41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 s="8">
        <f t="shared" si="37"/>
        <v>75.19</v>
      </c>
      <c r="Q405" s="10" t="s">
        <v>8308</v>
      </c>
      <c r="R405" s="10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47</v>
      </c>
      <c r="V405">
        <f t="shared" si="41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 s="8">
        <f t="shared" si="37"/>
        <v>133.13999999999999</v>
      </c>
      <c r="Q406" s="10" t="s">
        <v>8308</v>
      </c>
      <c r="R406" s="10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29</v>
      </c>
      <c r="V406">
        <f t="shared" si="41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 s="8">
        <f t="shared" si="37"/>
        <v>55.2</v>
      </c>
      <c r="Q407" s="10" t="s">
        <v>8308</v>
      </c>
      <c r="R407" s="10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30</v>
      </c>
      <c r="V407">
        <f t="shared" si="41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 s="8">
        <f t="shared" si="37"/>
        <v>86.16</v>
      </c>
      <c r="Q408" s="10" t="s">
        <v>8308</v>
      </c>
      <c r="R408" s="10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34</v>
      </c>
      <c r="V408">
        <f t="shared" si="41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 s="8">
        <f t="shared" si="37"/>
        <v>92.32</v>
      </c>
      <c r="Q409" s="10" t="s">
        <v>8308</v>
      </c>
      <c r="R409" s="10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60</v>
      </c>
      <c r="V409">
        <f t="shared" si="41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 s="8">
        <f t="shared" si="37"/>
        <v>160.16</v>
      </c>
      <c r="Q410" s="10" t="s">
        <v>8308</v>
      </c>
      <c r="R410" s="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40</v>
      </c>
      <c r="V410">
        <f t="shared" si="41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 s="8">
        <f t="shared" si="37"/>
        <v>45.6</v>
      </c>
      <c r="Q411" s="10" t="s">
        <v>8308</v>
      </c>
      <c r="R411" s="10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30</v>
      </c>
      <c r="V411">
        <f t="shared" si="41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 s="8">
        <f t="shared" si="37"/>
        <v>183.29</v>
      </c>
      <c r="Q412" s="10" t="s">
        <v>8308</v>
      </c>
      <c r="R412" s="10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60</v>
      </c>
      <c r="V412">
        <f t="shared" si="41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 s="8">
        <f t="shared" si="37"/>
        <v>125.79</v>
      </c>
      <c r="Q413" s="10" t="s">
        <v>8308</v>
      </c>
      <c r="R413" s="10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32</v>
      </c>
      <c r="V413">
        <f t="shared" si="41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 s="8">
        <f t="shared" si="37"/>
        <v>57.65</v>
      </c>
      <c r="Q414" s="10" t="s">
        <v>8308</v>
      </c>
      <c r="R414" s="10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16</v>
      </c>
      <c r="V414">
        <f t="shared" si="41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 s="8">
        <f t="shared" si="37"/>
        <v>78.66</v>
      </c>
      <c r="Q415" s="10" t="s">
        <v>8308</v>
      </c>
      <c r="R415" s="10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30</v>
      </c>
      <c r="V415">
        <f t="shared" si="41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 s="8">
        <f t="shared" si="37"/>
        <v>91.48</v>
      </c>
      <c r="Q416" s="10" t="s">
        <v>8308</v>
      </c>
      <c r="R416" s="10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30</v>
      </c>
      <c r="V416">
        <f t="shared" si="41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 s="8">
        <f t="shared" si="37"/>
        <v>68.099999999999994</v>
      </c>
      <c r="Q417" s="10" t="s">
        <v>8308</v>
      </c>
      <c r="R417" s="10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25</v>
      </c>
      <c r="V417">
        <f t="shared" si="41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 s="8">
        <f t="shared" si="37"/>
        <v>48.09</v>
      </c>
      <c r="Q418" s="10" t="s">
        <v>8308</v>
      </c>
      <c r="R418" s="10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30</v>
      </c>
      <c r="V418">
        <f t="shared" si="41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 s="8">
        <f t="shared" si="37"/>
        <v>202.42</v>
      </c>
      <c r="Q419" s="10" t="s">
        <v>8308</v>
      </c>
      <c r="R419" s="10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11</v>
      </c>
      <c r="V419">
        <f t="shared" si="41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 s="8">
        <f t="shared" si="37"/>
        <v>216.75</v>
      </c>
      <c r="Q420" s="10" t="s">
        <v>8308</v>
      </c>
      <c r="R420" s="1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30</v>
      </c>
      <c r="V420">
        <f t="shared" si="41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 s="8">
        <f t="shared" si="37"/>
        <v>110.07</v>
      </c>
      <c r="Q421" s="10" t="s">
        <v>8308</v>
      </c>
      <c r="R421" s="10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60</v>
      </c>
      <c r="V421">
        <f t="shared" si="41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 s="8">
        <f t="shared" si="37"/>
        <v>4.83</v>
      </c>
      <c r="Q422" s="10" t="s">
        <v>8308</v>
      </c>
      <c r="R422" s="10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30</v>
      </c>
      <c r="V422">
        <f t="shared" si="41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 s="8">
        <f t="shared" si="37"/>
        <v>50.17</v>
      </c>
      <c r="Q423" s="10" t="s">
        <v>8308</v>
      </c>
      <c r="R423" s="10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60</v>
      </c>
      <c r="V423">
        <f t="shared" si="41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 s="8">
        <f t="shared" si="37"/>
        <v>35.83</v>
      </c>
      <c r="Q424" s="10" t="s">
        <v>8308</v>
      </c>
      <c r="R424" s="10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30</v>
      </c>
      <c r="V424">
        <f t="shared" si="41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 s="8">
        <f t="shared" si="37"/>
        <v>11.77</v>
      </c>
      <c r="Q425" s="10" t="s">
        <v>8308</v>
      </c>
      <c r="R425" s="10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30</v>
      </c>
      <c r="V425">
        <f t="shared" si="41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 s="8">
        <f t="shared" si="37"/>
        <v>40.78</v>
      </c>
      <c r="Q426" s="10" t="s">
        <v>8308</v>
      </c>
      <c r="R426" s="10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60</v>
      </c>
      <c r="V426">
        <f t="shared" si="41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 s="8">
        <f t="shared" si="37"/>
        <v>3</v>
      </c>
      <c r="Q427" s="10" t="s">
        <v>8308</v>
      </c>
      <c r="R427" s="10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60</v>
      </c>
      <c r="V427">
        <f t="shared" si="41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 s="8">
        <f t="shared" si="37"/>
        <v>16.63</v>
      </c>
      <c r="Q428" s="10" t="s">
        <v>8308</v>
      </c>
      <c r="R428" s="10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30</v>
      </c>
      <c r="V428">
        <f t="shared" si="41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s="8">
        <f t="shared" si="37"/>
        <v>0</v>
      </c>
      <c r="Q429" s="10" t="s">
        <v>8308</v>
      </c>
      <c r="R429" s="10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14</v>
      </c>
      <c r="V429">
        <f t="shared" si="41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 s="8">
        <f t="shared" si="37"/>
        <v>52</v>
      </c>
      <c r="Q430" s="10" t="s">
        <v>8308</v>
      </c>
      <c r="R430" s="1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28</v>
      </c>
      <c r="V430">
        <f t="shared" si="41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s="8">
        <f t="shared" si="37"/>
        <v>0</v>
      </c>
      <c r="Q431" s="10" t="s">
        <v>8308</v>
      </c>
      <c r="R431" s="10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73</v>
      </c>
      <c r="V431">
        <f t="shared" si="41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 s="8">
        <f t="shared" si="37"/>
        <v>4.8</v>
      </c>
      <c r="Q432" s="10" t="s">
        <v>8308</v>
      </c>
      <c r="R432" s="10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15</v>
      </c>
      <c r="V432">
        <f t="shared" si="41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 s="8">
        <f t="shared" si="37"/>
        <v>51.88</v>
      </c>
      <c r="Q433" s="10" t="s">
        <v>8308</v>
      </c>
      <c r="R433" s="10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30</v>
      </c>
      <c r="V433">
        <f t="shared" si="41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 s="8">
        <f t="shared" si="37"/>
        <v>71.25</v>
      </c>
      <c r="Q434" s="10" t="s">
        <v>8308</v>
      </c>
      <c r="R434" s="10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60</v>
      </c>
      <c r="V434">
        <f t="shared" si="41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s="8">
        <f t="shared" si="37"/>
        <v>0</v>
      </c>
      <c r="Q435" s="10" t="s">
        <v>8308</v>
      </c>
      <c r="R435" s="10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60</v>
      </c>
      <c r="V435">
        <f t="shared" si="41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 s="8">
        <f t="shared" si="37"/>
        <v>62.5</v>
      </c>
      <c r="Q436" s="10" t="s">
        <v>8308</v>
      </c>
      <c r="R436" s="10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33</v>
      </c>
      <c r="V436">
        <f t="shared" si="41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 s="8">
        <f t="shared" si="37"/>
        <v>1</v>
      </c>
      <c r="Q437" s="10" t="s">
        <v>8308</v>
      </c>
      <c r="R437" s="10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30</v>
      </c>
      <c r="V437">
        <f t="shared" si="41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s="8">
        <f t="shared" si="37"/>
        <v>0</v>
      </c>
      <c r="Q438" s="10" t="s">
        <v>8308</v>
      </c>
      <c r="R438" s="10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30</v>
      </c>
      <c r="V438">
        <f t="shared" si="41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s="8">
        <f t="shared" si="37"/>
        <v>0</v>
      </c>
      <c r="Q439" s="10" t="s">
        <v>8308</v>
      </c>
      <c r="R439" s="10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60</v>
      </c>
      <c r="V439">
        <f t="shared" si="41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 s="8">
        <f t="shared" si="37"/>
        <v>170.55</v>
      </c>
      <c r="Q440" s="10" t="s">
        <v>8308</v>
      </c>
      <c r="R440" s="1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30</v>
      </c>
      <c r="V440">
        <f t="shared" si="41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s="8">
        <f t="shared" si="37"/>
        <v>0</v>
      </c>
      <c r="Q441" s="10" t="s">
        <v>8308</v>
      </c>
      <c r="R441" s="10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10</v>
      </c>
      <c r="V441">
        <f t="shared" si="41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 s="8">
        <f t="shared" si="37"/>
        <v>5</v>
      </c>
      <c r="Q442" s="10" t="s">
        <v>8308</v>
      </c>
      <c r="R442" s="10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30</v>
      </c>
      <c r="V442">
        <f t="shared" si="41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s="8">
        <f t="shared" si="37"/>
        <v>0</v>
      </c>
      <c r="Q443" s="10" t="s">
        <v>8308</v>
      </c>
      <c r="R443" s="10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30</v>
      </c>
      <c r="V443">
        <f t="shared" si="41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 s="8">
        <f t="shared" si="37"/>
        <v>393.59</v>
      </c>
      <c r="Q444" s="10" t="s">
        <v>8308</v>
      </c>
      <c r="R444" s="10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30</v>
      </c>
      <c r="V444">
        <f t="shared" si="41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 s="8">
        <f t="shared" si="37"/>
        <v>5</v>
      </c>
      <c r="Q445" s="10" t="s">
        <v>8308</v>
      </c>
      <c r="R445" s="10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30</v>
      </c>
      <c r="V445">
        <f t="shared" si="41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 s="8">
        <f t="shared" si="37"/>
        <v>50</v>
      </c>
      <c r="Q446" s="10" t="s">
        <v>8308</v>
      </c>
      <c r="R446" s="10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60</v>
      </c>
      <c r="V446">
        <f t="shared" si="41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 s="8">
        <f t="shared" si="37"/>
        <v>1</v>
      </c>
      <c r="Q447" s="10" t="s">
        <v>8308</v>
      </c>
      <c r="R447" s="10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15</v>
      </c>
      <c r="V447">
        <f t="shared" si="41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 s="8">
        <f t="shared" si="37"/>
        <v>47.88</v>
      </c>
      <c r="Q448" s="10" t="s">
        <v>8308</v>
      </c>
      <c r="R448" s="10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30</v>
      </c>
      <c r="V448">
        <f t="shared" si="41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 s="8">
        <f t="shared" si="37"/>
        <v>5</v>
      </c>
      <c r="Q449" s="10" t="s">
        <v>8308</v>
      </c>
      <c r="R449" s="10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25</v>
      </c>
      <c r="V449">
        <f t="shared" si="41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ROUND((E450/D450)*100, 0)</f>
        <v>3</v>
      </c>
      <c r="P450" s="8">
        <f t="shared" ref="P450:P513" si="43">IFERROR(ROUND(E450/L450, 2), 0)</f>
        <v>20.5</v>
      </c>
      <c r="Q450" s="10" t="s">
        <v>8308</v>
      </c>
      <c r="R450" s="10" t="s">
        <v>8314</v>
      </c>
      <c r="S450" s="16">
        <f t="shared" ref="S450:S513" si="44">(J450/60/60/24)+DATE(1970, 1, 1)</f>
        <v>41753.758043981477</v>
      </c>
      <c r="T450" s="16">
        <f t="shared" ref="T450:T513" si="45">(I450/60/60/24)+DATE(1970, 1, 1)</f>
        <v>41773.758043981477</v>
      </c>
      <c r="U450">
        <f t="shared" si="40"/>
        <v>20</v>
      </c>
      <c r="V450">
        <f t="shared" si="41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 s="8">
        <f t="shared" si="43"/>
        <v>9</v>
      </c>
      <c r="Q451" s="10" t="s">
        <v>8308</v>
      </c>
      <c r="R451" s="10" t="s">
        <v>8314</v>
      </c>
      <c r="S451" s="16">
        <f t="shared" si="44"/>
        <v>41534.568113425928</v>
      </c>
      <c r="T451" s="16">
        <f t="shared" si="45"/>
        <v>41564.568113425928</v>
      </c>
      <c r="U451">
        <f t="shared" ref="U451:U514" si="46">ROUND(T451-S451, 0)</f>
        <v>30</v>
      </c>
      <c r="V451">
        <f t="shared" ref="V451:V514" si="47">YEAR($S451)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 s="8">
        <f t="shared" si="43"/>
        <v>56.57</v>
      </c>
      <c r="Q452" s="10" t="s">
        <v>8308</v>
      </c>
      <c r="R452" s="10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30</v>
      </c>
      <c r="V452">
        <f t="shared" si="47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s="8">
        <f t="shared" si="43"/>
        <v>0</v>
      </c>
      <c r="Q453" s="10" t="s">
        <v>8308</v>
      </c>
      <c r="R453" s="10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30</v>
      </c>
      <c r="V453">
        <f t="shared" si="47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 s="8">
        <f t="shared" si="43"/>
        <v>40</v>
      </c>
      <c r="Q454" s="10" t="s">
        <v>8308</v>
      </c>
      <c r="R454" s="10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30</v>
      </c>
      <c r="V454">
        <f t="shared" si="47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 s="8">
        <f t="shared" si="43"/>
        <v>13</v>
      </c>
      <c r="Q455" s="10" t="s">
        <v>8308</v>
      </c>
      <c r="R455" s="10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16</v>
      </c>
      <c r="V455">
        <f t="shared" si="47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 s="8">
        <f t="shared" si="43"/>
        <v>16.399999999999999</v>
      </c>
      <c r="Q456" s="10" t="s">
        <v>8308</v>
      </c>
      <c r="R456" s="10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31</v>
      </c>
      <c r="V456">
        <f t="shared" si="47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 s="8">
        <f t="shared" si="43"/>
        <v>22.5</v>
      </c>
      <c r="Q457" s="10" t="s">
        <v>8308</v>
      </c>
      <c r="R457" s="10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45</v>
      </c>
      <c r="V457">
        <f t="shared" si="47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 s="8">
        <f t="shared" si="43"/>
        <v>20.329999999999998</v>
      </c>
      <c r="Q458" s="10" t="s">
        <v>8308</v>
      </c>
      <c r="R458" s="10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21</v>
      </c>
      <c r="V458">
        <f t="shared" si="47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s="8">
        <f t="shared" si="43"/>
        <v>0</v>
      </c>
      <c r="Q459" s="10" t="s">
        <v>8308</v>
      </c>
      <c r="R459" s="10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30</v>
      </c>
      <c r="V459">
        <f t="shared" si="47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 s="8">
        <f t="shared" si="43"/>
        <v>16.760000000000002</v>
      </c>
      <c r="Q460" s="10" t="s">
        <v>8308</v>
      </c>
      <c r="R460" s="1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30</v>
      </c>
      <c r="V460">
        <f t="shared" si="47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 s="8">
        <f t="shared" si="43"/>
        <v>25</v>
      </c>
      <c r="Q461" s="10" t="s">
        <v>8308</v>
      </c>
      <c r="R461" s="10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60</v>
      </c>
      <c r="V461">
        <f t="shared" si="47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 s="8">
        <f t="shared" si="43"/>
        <v>12.5</v>
      </c>
      <c r="Q462" s="10" t="s">
        <v>8308</v>
      </c>
      <c r="R462" s="10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32</v>
      </c>
      <c r="V462">
        <f t="shared" si="47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s="8">
        <f t="shared" si="43"/>
        <v>0</v>
      </c>
      <c r="Q463" s="10" t="s">
        <v>8308</v>
      </c>
      <c r="R463" s="10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</v>
      </c>
      <c r="V463">
        <f t="shared" si="47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s="8">
        <f t="shared" si="43"/>
        <v>0</v>
      </c>
      <c r="Q464" s="10" t="s">
        <v>8308</v>
      </c>
      <c r="R464" s="10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60</v>
      </c>
      <c r="V464">
        <f t="shared" si="47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 s="8">
        <f t="shared" si="43"/>
        <v>113.64</v>
      </c>
      <c r="Q465" s="10" t="s">
        <v>8308</v>
      </c>
      <c r="R465" s="10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60</v>
      </c>
      <c r="V465">
        <f t="shared" si="47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 s="8">
        <f t="shared" si="43"/>
        <v>1</v>
      </c>
      <c r="Q466" s="10" t="s">
        <v>8308</v>
      </c>
      <c r="R466" s="10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</v>
      </c>
      <c r="V466">
        <f t="shared" si="47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 s="8">
        <f t="shared" si="43"/>
        <v>17.25</v>
      </c>
      <c r="Q467" s="10" t="s">
        <v>8308</v>
      </c>
      <c r="R467" s="10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16</v>
      </c>
      <c r="V467">
        <f t="shared" si="47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 s="8">
        <f t="shared" si="43"/>
        <v>15.2</v>
      </c>
      <c r="Q468" s="10" t="s">
        <v>8308</v>
      </c>
      <c r="R468" s="10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30</v>
      </c>
      <c r="V468">
        <f t="shared" si="47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 s="8">
        <f t="shared" si="43"/>
        <v>110.64</v>
      </c>
      <c r="Q469" s="10" t="s">
        <v>8308</v>
      </c>
      <c r="R469" s="10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45</v>
      </c>
      <c r="V469">
        <f t="shared" si="47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s="8">
        <f t="shared" si="43"/>
        <v>0</v>
      </c>
      <c r="Q470" s="10" t="s">
        <v>8308</v>
      </c>
      <c r="R470" s="1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60</v>
      </c>
      <c r="V470">
        <f t="shared" si="47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s="8">
        <f t="shared" si="43"/>
        <v>0</v>
      </c>
      <c r="Q471" s="10" t="s">
        <v>8308</v>
      </c>
      <c r="R471" s="10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60</v>
      </c>
      <c r="V471">
        <f t="shared" si="47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 s="8">
        <f t="shared" si="43"/>
        <v>25.5</v>
      </c>
      <c r="Q472" s="10" t="s">
        <v>8308</v>
      </c>
      <c r="R472" s="10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50</v>
      </c>
      <c r="V472">
        <f t="shared" si="47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 s="8">
        <f t="shared" si="43"/>
        <v>38.479999999999997</v>
      </c>
      <c r="Q473" s="10" t="s">
        <v>8308</v>
      </c>
      <c r="R473" s="10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45</v>
      </c>
      <c r="V473">
        <f t="shared" si="47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 s="8">
        <f t="shared" si="43"/>
        <v>28.2</v>
      </c>
      <c r="Q474" s="10" t="s">
        <v>8308</v>
      </c>
      <c r="R474" s="10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30</v>
      </c>
      <c r="V474">
        <f t="shared" si="47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 s="8">
        <f t="shared" si="43"/>
        <v>61.5</v>
      </c>
      <c r="Q475" s="10" t="s">
        <v>8308</v>
      </c>
      <c r="R475" s="10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30</v>
      </c>
      <c r="V475">
        <f t="shared" si="47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 s="8">
        <f t="shared" si="43"/>
        <v>1</v>
      </c>
      <c r="Q476" s="10" t="s">
        <v>8308</v>
      </c>
      <c r="R476" s="10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30</v>
      </c>
      <c r="V476">
        <f t="shared" si="47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s="8">
        <f t="shared" si="43"/>
        <v>0</v>
      </c>
      <c r="Q477" s="10" t="s">
        <v>8308</v>
      </c>
      <c r="R477" s="10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30</v>
      </c>
      <c r="V477">
        <f t="shared" si="47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 s="8">
        <f t="shared" si="43"/>
        <v>39.57</v>
      </c>
      <c r="Q478" s="10" t="s">
        <v>8308</v>
      </c>
      <c r="R478" s="10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35</v>
      </c>
      <c r="V478">
        <f t="shared" si="47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s="8">
        <f t="shared" si="43"/>
        <v>0</v>
      </c>
      <c r="Q479" s="10" t="s">
        <v>8308</v>
      </c>
      <c r="R479" s="10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60</v>
      </c>
      <c r="V479">
        <f t="shared" si="47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s="8">
        <f t="shared" si="43"/>
        <v>0</v>
      </c>
      <c r="Q480" s="10" t="s">
        <v>8308</v>
      </c>
      <c r="R480" s="1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30</v>
      </c>
      <c r="V480">
        <f t="shared" si="47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 s="8">
        <f t="shared" si="43"/>
        <v>88.8</v>
      </c>
      <c r="Q481" s="10" t="s">
        <v>8308</v>
      </c>
      <c r="R481" s="10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60</v>
      </c>
      <c r="V481">
        <f t="shared" si="47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 s="8">
        <f t="shared" si="43"/>
        <v>55.46</v>
      </c>
      <c r="Q482" s="10" t="s">
        <v>8308</v>
      </c>
      <c r="R482" s="10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30</v>
      </c>
      <c r="V482">
        <f t="shared" si="47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 s="8">
        <f t="shared" si="43"/>
        <v>87.14</v>
      </c>
      <c r="Q483" s="10" t="s">
        <v>8308</v>
      </c>
      <c r="R483" s="10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30</v>
      </c>
      <c r="V483">
        <f t="shared" si="47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 s="8">
        <f t="shared" si="43"/>
        <v>10</v>
      </c>
      <c r="Q484" s="10" t="s">
        <v>8308</v>
      </c>
      <c r="R484" s="10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27</v>
      </c>
      <c r="V484">
        <f t="shared" si="47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 s="8">
        <f t="shared" si="43"/>
        <v>51.22</v>
      </c>
      <c r="Q485" s="10" t="s">
        <v>8308</v>
      </c>
      <c r="R485" s="10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60</v>
      </c>
      <c r="V485">
        <f t="shared" si="47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 s="8">
        <f t="shared" si="43"/>
        <v>13.55</v>
      </c>
      <c r="Q486" s="10" t="s">
        <v>8308</v>
      </c>
      <c r="R486" s="10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41</v>
      </c>
      <c r="V486">
        <f t="shared" si="47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 s="8">
        <f t="shared" si="43"/>
        <v>66.52</v>
      </c>
      <c r="Q487" s="10" t="s">
        <v>8308</v>
      </c>
      <c r="R487" s="10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30</v>
      </c>
      <c r="V487">
        <f t="shared" si="47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 s="8">
        <f t="shared" si="43"/>
        <v>50</v>
      </c>
      <c r="Q488" s="10" t="s">
        <v>8308</v>
      </c>
      <c r="R488" s="10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30</v>
      </c>
      <c r="V488">
        <f t="shared" si="47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s="8">
        <f t="shared" si="43"/>
        <v>0</v>
      </c>
      <c r="Q489" s="10" t="s">
        <v>8308</v>
      </c>
      <c r="R489" s="10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60</v>
      </c>
      <c r="V489">
        <f t="shared" si="47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s="8">
        <f t="shared" si="43"/>
        <v>0</v>
      </c>
      <c r="Q490" s="10" t="s">
        <v>8308</v>
      </c>
      <c r="R490" s="1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30</v>
      </c>
      <c r="V490">
        <f t="shared" si="47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 s="8">
        <f t="shared" si="43"/>
        <v>71.67</v>
      </c>
      <c r="Q491" s="10" t="s">
        <v>8308</v>
      </c>
      <c r="R491" s="10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31</v>
      </c>
      <c r="V491">
        <f t="shared" si="47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s="8">
        <f t="shared" si="43"/>
        <v>0</v>
      </c>
      <c r="Q492" s="10" t="s">
        <v>8308</v>
      </c>
      <c r="R492" s="10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30</v>
      </c>
      <c r="V492">
        <f t="shared" si="47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s="8">
        <f t="shared" si="43"/>
        <v>0</v>
      </c>
      <c r="Q493" s="10" t="s">
        <v>8308</v>
      </c>
      <c r="R493" s="10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30</v>
      </c>
      <c r="V493">
        <f t="shared" si="47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s="8">
        <f t="shared" si="43"/>
        <v>0</v>
      </c>
      <c r="Q494" s="10" t="s">
        <v>8308</v>
      </c>
      <c r="R494" s="10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60</v>
      </c>
      <c r="V494">
        <f t="shared" si="47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s="8">
        <f t="shared" si="43"/>
        <v>0</v>
      </c>
      <c r="Q495" s="10" t="s">
        <v>8308</v>
      </c>
      <c r="R495" s="10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30</v>
      </c>
      <c r="V495">
        <f t="shared" si="47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 s="8">
        <f t="shared" si="43"/>
        <v>10.33</v>
      </c>
      <c r="Q496" s="10" t="s">
        <v>8308</v>
      </c>
      <c r="R496" s="10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23</v>
      </c>
      <c r="V496">
        <f t="shared" si="47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s="8">
        <f t="shared" si="43"/>
        <v>0</v>
      </c>
      <c r="Q497" s="10" t="s">
        <v>8308</v>
      </c>
      <c r="R497" s="10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30</v>
      </c>
      <c r="V497">
        <f t="shared" si="47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 s="8">
        <f t="shared" si="43"/>
        <v>1</v>
      </c>
      <c r="Q498" s="10" t="s">
        <v>8308</v>
      </c>
      <c r="R498" s="10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60</v>
      </c>
      <c r="V498">
        <f t="shared" si="47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 s="8">
        <f t="shared" si="43"/>
        <v>10</v>
      </c>
      <c r="Q499" s="10" t="s">
        <v>8308</v>
      </c>
      <c r="R499" s="10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53</v>
      </c>
      <c r="V499">
        <f t="shared" si="47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 s="8">
        <f t="shared" si="43"/>
        <v>136.09</v>
      </c>
      <c r="Q500" s="10" t="s">
        <v>8308</v>
      </c>
      <c r="R500" s="1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42</v>
      </c>
      <c r="V500">
        <f t="shared" si="47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 s="8">
        <f t="shared" si="43"/>
        <v>73.459999999999994</v>
      </c>
      <c r="Q501" s="10" t="s">
        <v>8308</v>
      </c>
      <c r="R501" s="10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55</v>
      </c>
      <c r="V501">
        <f t="shared" si="47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 s="8">
        <f t="shared" si="43"/>
        <v>53.75</v>
      </c>
      <c r="Q502" s="10" t="s">
        <v>8308</v>
      </c>
      <c r="R502" s="10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59</v>
      </c>
      <c r="V502">
        <f t="shared" si="47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s="8">
        <f t="shared" si="43"/>
        <v>0</v>
      </c>
      <c r="Q503" s="10" t="s">
        <v>8308</v>
      </c>
      <c r="R503" s="10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30</v>
      </c>
      <c r="V503">
        <f t="shared" si="47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 s="8">
        <f t="shared" si="43"/>
        <v>57.5</v>
      </c>
      <c r="Q504" s="10" t="s">
        <v>8308</v>
      </c>
      <c r="R504" s="10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30</v>
      </c>
      <c r="V504">
        <f t="shared" si="47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 s="8">
        <f t="shared" si="43"/>
        <v>12.67</v>
      </c>
      <c r="Q505" s="10" t="s">
        <v>8308</v>
      </c>
      <c r="R505" s="10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30</v>
      </c>
      <c r="V505">
        <f t="shared" si="47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 s="8">
        <f t="shared" si="43"/>
        <v>67</v>
      </c>
      <c r="Q506" s="10" t="s">
        <v>8308</v>
      </c>
      <c r="R506" s="10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60</v>
      </c>
      <c r="V506">
        <f t="shared" si="47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 s="8">
        <f t="shared" si="43"/>
        <v>3.71</v>
      </c>
      <c r="Q507" s="10" t="s">
        <v>8308</v>
      </c>
      <c r="R507" s="10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45</v>
      </c>
      <c r="V507">
        <f t="shared" si="47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 s="8">
        <f t="shared" si="43"/>
        <v>250</v>
      </c>
      <c r="Q508" s="10" t="s">
        <v>8308</v>
      </c>
      <c r="R508" s="10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30</v>
      </c>
      <c r="V508">
        <f t="shared" si="47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 s="8">
        <f t="shared" si="43"/>
        <v>64</v>
      </c>
      <c r="Q509" s="10" t="s">
        <v>8308</v>
      </c>
      <c r="R509" s="10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45</v>
      </c>
      <c r="V509">
        <f t="shared" si="47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 s="8">
        <f t="shared" si="43"/>
        <v>133.33000000000001</v>
      </c>
      <c r="Q510" s="10" t="s">
        <v>8308</v>
      </c>
      <c r="R510" s="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60</v>
      </c>
      <c r="V510">
        <f t="shared" si="47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 s="8">
        <f t="shared" si="43"/>
        <v>10</v>
      </c>
      <c r="Q511" s="10" t="s">
        <v>8308</v>
      </c>
      <c r="R511" s="10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30</v>
      </c>
      <c r="V511">
        <f t="shared" si="47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s="8">
        <f t="shared" si="43"/>
        <v>0</v>
      </c>
      <c r="Q512" s="10" t="s">
        <v>8308</v>
      </c>
      <c r="R512" s="10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30</v>
      </c>
      <c r="V512">
        <f t="shared" si="47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 s="8">
        <f t="shared" si="43"/>
        <v>30</v>
      </c>
      <c r="Q513" s="10" t="s">
        <v>8308</v>
      </c>
      <c r="R513" s="10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30</v>
      </c>
      <c r="V513">
        <f t="shared" si="47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ROUND((E514/D514)*100, 0)</f>
        <v>0</v>
      </c>
      <c r="P514" s="8">
        <f t="shared" ref="P514:P577" si="49">IFERROR(ROUND(E514/L514, 2), 0)</f>
        <v>5.5</v>
      </c>
      <c r="Q514" s="10" t="s">
        <v>8308</v>
      </c>
      <c r="R514" s="10" t="s">
        <v>8314</v>
      </c>
      <c r="S514" s="16">
        <f t="shared" ref="S514:S577" si="50">(J514/60/60/24)+DATE(1970, 1, 1)</f>
        <v>42649.742210648154</v>
      </c>
      <c r="T514" s="16">
        <f t="shared" ref="T514:T577" si="51">(I514/60/60/24)+DATE(1970, 1, 1)</f>
        <v>42694.783877314811</v>
      </c>
      <c r="U514">
        <f t="shared" si="46"/>
        <v>45</v>
      </c>
      <c r="V514">
        <f t="shared" si="47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 s="8">
        <f t="shared" si="49"/>
        <v>102.38</v>
      </c>
      <c r="Q515" s="10" t="s">
        <v>8308</v>
      </c>
      <c r="R515" s="10" t="s">
        <v>8314</v>
      </c>
      <c r="S515" s="16">
        <f t="shared" si="50"/>
        <v>42552.653993055559</v>
      </c>
      <c r="T515" s="16">
        <f t="shared" si="51"/>
        <v>42597.291666666672</v>
      </c>
      <c r="U515">
        <f t="shared" ref="U515:U578" si="52">ROUND(T515-S515, 0)</f>
        <v>45</v>
      </c>
      <c r="V515">
        <f t="shared" ref="V515:V578" si="53">YEAR($S515)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 s="8">
        <f t="shared" si="49"/>
        <v>16.670000000000002</v>
      </c>
      <c r="Q516" s="10" t="s">
        <v>8308</v>
      </c>
      <c r="R516" s="10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30</v>
      </c>
      <c r="V516">
        <f t="shared" si="53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 s="8">
        <f t="shared" si="49"/>
        <v>725.03</v>
      </c>
      <c r="Q517" s="10" t="s">
        <v>8308</v>
      </c>
      <c r="R517" s="10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40</v>
      </c>
      <c r="V517">
        <f t="shared" si="53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s="8">
        <f t="shared" si="49"/>
        <v>0</v>
      </c>
      <c r="Q518" s="10" t="s">
        <v>8308</v>
      </c>
      <c r="R518" s="10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60</v>
      </c>
      <c r="V518">
        <f t="shared" si="53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 s="8">
        <f t="shared" si="49"/>
        <v>68.33</v>
      </c>
      <c r="Q519" s="10" t="s">
        <v>8308</v>
      </c>
      <c r="R519" s="10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30</v>
      </c>
      <c r="V519">
        <f t="shared" si="53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s="8">
        <f t="shared" si="49"/>
        <v>0</v>
      </c>
      <c r="Q520" s="10" t="s">
        <v>8308</v>
      </c>
      <c r="R520" s="1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30</v>
      </c>
      <c r="V520">
        <f t="shared" si="53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 s="8">
        <f t="shared" si="49"/>
        <v>39.229999999999997</v>
      </c>
      <c r="Q521" s="10" t="s">
        <v>8308</v>
      </c>
      <c r="R521" s="10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30</v>
      </c>
      <c r="V521">
        <f t="shared" si="53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 s="8">
        <f t="shared" si="49"/>
        <v>150.15</v>
      </c>
      <c r="Q522" s="10" t="s">
        <v>8315</v>
      </c>
      <c r="R522" s="10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30</v>
      </c>
      <c r="V522">
        <f t="shared" si="53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 s="8">
        <f t="shared" si="49"/>
        <v>93.43</v>
      </c>
      <c r="Q523" s="10" t="s">
        <v>8315</v>
      </c>
      <c r="R523" s="10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29</v>
      </c>
      <c r="V523">
        <f t="shared" si="53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 s="8">
        <f t="shared" si="49"/>
        <v>110.97</v>
      </c>
      <c r="Q524" s="10" t="s">
        <v>8315</v>
      </c>
      <c r="R524" s="10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</v>
      </c>
      <c r="V524">
        <f t="shared" si="53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 s="8">
        <f t="shared" si="49"/>
        <v>71.790000000000006</v>
      </c>
      <c r="Q525" s="10" t="s">
        <v>8315</v>
      </c>
      <c r="R525" s="10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30</v>
      </c>
      <c r="V525">
        <f t="shared" si="53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 s="8">
        <f t="shared" si="49"/>
        <v>29.26</v>
      </c>
      <c r="Q526" s="10" t="s">
        <v>8315</v>
      </c>
      <c r="R526" s="10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30</v>
      </c>
      <c r="V526">
        <f t="shared" si="53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 s="8">
        <f t="shared" si="49"/>
        <v>1000</v>
      </c>
      <c r="Q527" s="10" t="s">
        <v>8315</v>
      </c>
      <c r="R527" s="10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45</v>
      </c>
      <c r="V527">
        <f t="shared" si="53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 s="8">
        <f t="shared" si="49"/>
        <v>74.349999999999994</v>
      </c>
      <c r="Q528" s="10" t="s">
        <v>8315</v>
      </c>
      <c r="R528" s="10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31</v>
      </c>
      <c r="V528">
        <f t="shared" si="53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 s="8">
        <f t="shared" si="49"/>
        <v>63.83</v>
      </c>
      <c r="Q529" s="10" t="s">
        <v>8315</v>
      </c>
      <c r="R529" s="10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30</v>
      </c>
      <c r="V529">
        <f t="shared" si="53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 s="8">
        <f t="shared" si="49"/>
        <v>44.33</v>
      </c>
      <c r="Q530" s="10" t="s">
        <v>8315</v>
      </c>
      <c r="R530" s="1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21</v>
      </c>
      <c r="V530">
        <f t="shared" si="53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 s="8">
        <f t="shared" si="49"/>
        <v>86.94</v>
      </c>
      <c r="Q531" s="10" t="s">
        <v>8315</v>
      </c>
      <c r="R531" s="10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21</v>
      </c>
      <c r="V531">
        <f t="shared" si="53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 s="8">
        <f t="shared" si="49"/>
        <v>126.55</v>
      </c>
      <c r="Q532" s="10" t="s">
        <v>8315</v>
      </c>
      <c r="R532" s="10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21</v>
      </c>
      <c r="V532">
        <f t="shared" si="53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 s="8">
        <f t="shared" si="49"/>
        <v>129.03</v>
      </c>
      <c r="Q533" s="10" t="s">
        <v>8315</v>
      </c>
      <c r="R533" s="10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45</v>
      </c>
      <c r="V533">
        <f t="shared" si="53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 s="8">
        <f t="shared" si="49"/>
        <v>71.239999999999995</v>
      </c>
      <c r="Q534" s="10" t="s">
        <v>8315</v>
      </c>
      <c r="R534" s="10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30</v>
      </c>
      <c r="V534">
        <f t="shared" si="53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 s="8">
        <f t="shared" si="49"/>
        <v>117.88</v>
      </c>
      <c r="Q535" s="10" t="s">
        <v>8315</v>
      </c>
      <c r="R535" s="10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24</v>
      </c>
      <c r="V535">
        <f t="shared" si="53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 s="8">
        <f t="shared" si="49"/>
        <v>327.08</v>
      </c>
      <c r="Q536" s="10" t="s">
        <v>8315</v>
      </c>
      <c r="R536" s="10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39</v>
      </c>
      <c r="V536">
        <f t="shared" si="53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 s="8">
        <f t="shared" si="49"/>
        <v>34.75</v>
      </c>
      <c r="Q537" s="10" t="s">
        <v>8315</v>
      </c>
      <c r="R537" s="10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30</v>
      </c>
      <c r="V537">
        <f t="shared" si="53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 s="8">
        <f t="shared" si="49"/>
        <v>100.06</v>
      </c>
      <c r="Q538" s="10" t="s">
        <v>8315</v>
      </c>
      <c r="R538" s="10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40</v>
      </c>
      <c r="V538">
        <f t="shared" si="53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 s="8">
        <f t="shared" si="49"/>
        <v>40.85</v>
      </c>
      <c r="Q539" s="10" t="s">
        <v>8315</v>
      </c>
      <c r="R539" s="10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30</v>
      </c>
      <c r="V539">
        <f t="shared" si="53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 s="8">
        <f t="shared" si="49"/>
        <v>252.02</v>
      </c>
      <c r="Q540" s="10" t="s">
        <v>8315</v>
      </c>
      <c r="R540" s="1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30</v>
      </c>
      <c r="V540">
        <f t="shared" si="53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 s="8">
        <f t="shared" si="49"/>
        <v>25.16</v>
      </c>
      <c r="Q541" s="10" t="s">
        <v>8315</v>
      </c>
      <c r="R541" s="10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21</v>
      </c>
      <c r="V541">
        <f t="shared" si="53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 s="8">
        <f t="shared" si="49"/>
        <v>1</v>
      </c>
      <c r="Q542" s="10" t="s">
        <v>8317</v>
      </c>
      <c r="R542" s="10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30</v>
      </c>
      <c r="V542">
        <f t="shared" si="53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 s="8">
        <f t="shared" si="49"/>
        <v>25</v>
      </c>
      <c r="Q543" s="10" t="s">
        <v>8317</v>
      </c>
      <c r="R543" s="10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30</v>
      </c>
      <c r="V543">
        <f t="shared" si="53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 s="8">
        <f t="shared" si="49"/>
        <v>1</v>
      </c>
      <c r="Q544" s="10" t="s">
        <v>8317</v>
      </c>
      <c r="R544" s="10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60</v>
      </c>
      <c r="V544">
        <f t="shared" si="53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 s="8">
        <f t="shared" si="49"/>
        <v>35</v>
      </c>
      <c r="Q545" s="10" t="s">
        <v>8317</v>
      </c>
      <c r="R545" s="10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30</v>
      </c>
      <c r="V545">
        <f t="shared" si="53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 s="8">
        <f t="shared" si="49"/>
        <v>3</v>
      </c>
      <c r="Q546" s="10" t="s">
        <v>8317</v>
      </c>
      <c r="R546" s="10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30</v>
      </c>
      <c r="V546">
        <f t="shared" si="53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 s="8">
        <f t="shared" si="49"/>
        <v>402.71</v>
      </c>
      <c r="Q547" s="10" t="s">
        <v>8317</v>
      </c>
      <c r="R547" s="10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40</v>
      </c>
      <c r="V547">
        <f t="shared" si="53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 s="8">
        <f t="shared" si="49"/>
        <v>26</v>
      </c>
      <c r="Q548" s="10" t="s">
        <v>8317</v>
      </c>
      <c r="R548" s="10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45</v>
      </c>
      <c r="V548">
        <f t="shared" si="53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s="8">
        <f t="shared" si="49"/>
        <v>0</v>
      </c>
      <c r="Q549" s="10" t="s">
        <v>8317</v>
      </c>
      <c r="R549" s="10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30</v>
      </c>
      <c r="V549">
        <f t="shared" si="53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 s="8">
        <f t="shared" si="49"/>
        <v>9</v>
      </c>
      <c r="Q550" s="10" t="s">
        <v>8317</v>
      </c>
      <c r="R550" s="1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30</v>
      </c>
      <c r="V550">
        <f t="shared" si="53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 s="8">
        <f t="shared" si="49"/>
        <v>8.5</v>
      </c>
      <c r="Q551" s="10" t="s">
        <v>8317</v>
      </c>
      <c r="R551" s="10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30</v>
      </c>
      <c r="V551">
        <f t="shared" si="53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 s="8">
        <f t="shared" si="49"/>
        <v>8.75</v>
      </c>
      <c r="Q552" s="10" t="s">
        <v>8317</v>
      </c>
      <c r="R552" s="10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13</v>
      </c>
      <c r="V552">
        <f t="shared" si="53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 s="8">
        <f t="shared" si="49"/>
        <v>135.04</v>
      </c>
      <c r="Q553" s="10" t="s">
        <v>8317</v>
      </c>
      <c r="R553" s="10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44</v>
      </c>
      <c r="V553">
        <f t="shared" si="53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s="8">
        <f t="shared" si="49"/>
        <v>0</v>
      </c>
      <c r="Q554" s="10" t="s">
        <v>8317</v>
      </c>
      <c r="R554" s="10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60</v>
      </c>
      <c r="V554">
        <f t="shared" si="53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 s="8">
        <f t="shared" si="49"/>
        <v>20.5</v>
      </c>
      <c r="Q555" s="10" t="s">
        <v>8317</v>
      </c>
      <c r="R555" s="10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30</v>
      </c>
      <c r="V555">
        <f t="shared" si="53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 s="8">
        <f t="shared" si="49"/>
        <v>64.36</v>
      </c>
      <c r="Q556" s="10" t="s">
        <v>8317</v>
      </c>
      <c r="R556" s="10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30</v>
      </c>
      <c r="V556">
        <f t="shared" si="53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s="8">
        <f t="shared" si="49"/>
        <v>0</v>
      </c>
      <c r="Q557" s="10" t="s">
        <v>8317</v>
      </c>
      <c r="R557" s="10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30</v>
      </c>
      <c r="V557">
        <f t="shared" si="53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 s="8">
        <f t="shared" si="49"/>
        <v>200</v>
      </c>
      <c r="Q558" s="10" t="s">
        <v>8317</v>
      </c>
      <c r="R558" s="10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30</v>
      </c>
      <c r="V558">
        <f t="shared" si="53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 s="8">
        <f t="shared" si="49"/>
        <v>68.3</v>
      </c>
      <c r="Q559" s="10" t="s">
        <v>8317</v>
      </c>
      <c r="R559" s="10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30</v>
      </c>
      <c r="V559">
        <f t="shared" si="53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s="8">
        <f t="shared" si="49"/>
        <v>0</v>
      </c>
      <c r="Q560" s="10" t="s">
        <v>8317</v>
      </c>
      <c r="R560" s="1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30</v>
      </c>
      <c r="V560">
        <f t="shared" si="53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 s="8">
        <f t="shared" si="49"/>
        <v>50</v>
      </c>
      <c r="Q561" s="10" t="s">
        <v>8317</v>
      </c>
      <c r="R561" s="10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30</v>
      </c>
      <c r="V561">
        <f t="shared" si="53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 s="8">
        <f t="shared" si="49"/>
        <v>4</v>
      </c>
      <c r="Q562" s="10" t="s">
        <v>8317</v>
      </c>
      <c r="R562" s="10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30</v>
      </c>
      <c r="V562">
        <f t="shared" si="53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 s="8">
        <f t="shared" si="49"/>
        <v>27.5</v>
      </c>
      <c r="Q563" s="10" t="s">
        <v>8317</v>
      </c>
      <c r="R563" s="10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35</v>
      </c>
      <c r="V563">
        <f t="shared" si="53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s="8">
        <f t="shared" si="49"/>
        <v>0</v>
      </c>
      <c r="Q564" s="10" t="s">
        <v>8317</v>
      </c>
      <c r="R564" s="10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30</v>
      </c>
      <c r="V564">
        <f t="shared" si="53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 s="8">
        <f t="shared" si="49"/>
        <v>34</v>
      </c>
      <c r="Q565" s="10" t="s">
        <v>8317</v>
      </c>
      <c r="R565" s="10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30</v>
      </c>
      <c r="V565">
        <f t="shared" si="53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 s="8">
        <f t="shared" si="49"/>
        <v>1</v>
      </c>
      <c r="Q566" s="10" t="s">
        <v>8317</v>
      </c>
      <c r="R566" s="10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30</v>
      </c>
      <c r="V566">
        <f t="shared" si="53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s="8">
        <f t="shared" si="49"/>
        <v>0</v>
      </c>
      <c r="Q567" s="10" t="s">
        <v>8317</v>
      </c>
      <c r="R567" s="10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30</v>
      </c>
      <c r="V567">
        <f t="shared" si="53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 s="8">
        <f t="shared" si="49"/>
        <v>1</v>
      </c>
      <c r="Q568" s="10" t="s">
        <v>8317</v>
      </c>
      <c r="R568" s="10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30</v>
      </c>
      <c r="V568">
        <f t="shared" si="53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s="8">
        <f t="shared" si="49"/>
        <v>0</v>
      </c>
      <c r="Q569" s="10" t="s">
        <v>8317</v>
      </c>
      <c r="R569" s="10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30</v>
      </c>
      <c r="V569">
        <f t="shared" si="53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 s="8">
        <f t="shared" si="49"/>
        <v>49</v>
      </c>
      <c r="Q570" s="10" t="s">
        <v>8317</v>
      </c>
      <c r="R570" s="1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37</v>
      </c>
      <c r="V570">
        <f t="shared" si="53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 s="8">
        <f t="shared" si="49"/>
        <v>20</v>
      </c>
      <c r="Q571" s="10" t="s">
        <v>8317</v>
      </c>
      <c r="R571" s="10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30</v>
      </c>
      <c r="V571">
        <f t="shared" si="53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 s="8">
        <f t="shared" si="49"/>
        <v>142</v>
      </c>
      <c r="Q572" s="10" t="s">
        <v>8317</v>
      </c>
      <c r="R572" s="10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30</v>
      </c>
      <c r="V572">
        <f t="shared" si="53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 s="8">
        <f t="shared" si="49"/>
        <v>53</v>
      </c>
      <c r="Q573" s="10" t="s">
        <v>8317</v>
      </c>
      <c r="R573" s="10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19</v>
      </c>
      <c r="V573">
        <f t="shared" si="53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s="8">
        <f t="shared" si="49"/>
        <v>0</v>
      </c>
      <c r="Q574" s="10" t="s">
        <v>8317</v>
      </c>
      <c r="R574" s="10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30</v>
      </c>
      <c r="V574">
        <f t="shared" si="53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 s="8">
        <f t="shared" si="49"/>
        <v>38.44</v>
      </c>
      <c r="Q575" s="10" t="s">
        <v>8317</v>
      </c>
      <c r="R575" s="10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59</v>
      </c>
      <c r="V575">
        <f t="shared" si="53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 s="8">
        <f t="shared" si="49"/>
        <v>20</v>
      </c>
      <c r="Q576" s="10" t="s">
        <v>8317</v>
      </c>
      <c r="R576" s="10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30</v>
      </c>
      <c r="V576">
        <f t="shared" si="53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 s="8">
        <f t="shared" si="49"/>
        <v>64.75</v>
      </c>
      <c r="Q577" s="10" t="s">
        <v>8317</v>
      </c>
      <c r="R577" s="10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30</v>
      </c>
      <c r="V577">
        <f t="shared" si="53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ROUND((E578/D578)*100, 0)</f>
        <v>0</v>
      </c>
      <c r="P578" s="8">
        <f t="shared" ref="P578:P641" si="55">IFERROR(ROUND(E578/L578, 2), 0)</f>
        <v>1</v>
      </c>
      <c r="Q578" s="10" t="s">
        <v>8317</v>
      </c>
      <c r="R578" s="10" t="s">
        <v>8318</v>
      </c>
      <c r="S578" s="16">
        <f t="shared" ref="S578:S641" si="56">(J578/60/60/24)+DATE(1970, 1, 1)</f>
        <v>42031.471666666665</v>
      </c>
      <c r="T578" s="16">
        <f t="shared" ref="T578:T641" si="57">(I578/60/60/24)+DATE(1970, 1, 1)</f>
        <v>42091.43</v>
      </c>
      <c r="U578">
        <f t="shared" si="52"/>
        <v>60</v>
      </c>
      <c r="V578">
        <f t="shared" si="53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 s="8">
        <f t="shared" si="55"/>
        <v>10</v>
      </c>
      <c r="Q579" s="10" t="s">
        <v>8317</v>
      </c>
      <c r="R579" s="10" t="s">
        <v>8318</v>
      </c>
      <c r="S579" s="16">
        <f t="shared" si="56"/>
        <v>42450.589143518519</v>
      </c>
      <c r="T579" s="16">
        <f t="shared" si="57"/>
        <v>42510.589143518519</v>
      </c>
      <c r="U579">
        <f t="shared" ref="U579:U642" si="58">ROUND(T579-S579, 0)</f>
        <v>60</v>
      </c>
      <c r="V579">
        <f t="shared" ref="V579:V642" si="59">YEAR($S579)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 s="8">
        <f t="shared" si="55"/>
        <v>2</v>
      </c>
      <c r="Q580" s="10" t="s">
        <v>8317</v>
      </c>
      <c r="R580" s="1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24</v>
      </c>
      <c r="V580">
        <f t="shared" si="5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 s="8">
        <f t="shared" si="55"/>
        <v>35</v>
      </c>
      <c r="Q581" s="10" t="s">
        <v>8317</v>
      </c>
      <c r="R581" s="10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30</v>
      </c>
      <c r="V581">
        <f t="shared" si="5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 s="8">
        <f t="shared" si="55"/>
        <v>1</v>
      </c>
      <c r="Q582" s="10" t="s">
        <v>8317</v>
      </c>
      <c r="R582" s="10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30</v>
      </c>
      <c r="V582">
        <f t="shared" si="5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s="8">
        <f t="shared" si="55"/>
        <v>0</v>
      </c>
      <c r="Q583" s="10" t="s">
        <v>8317</v>
      </c>
      <c r="R583" s="10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30</v>
      </c>
      <c r="V583">
        <f t="shared" si="5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s="8">
        <f t="shared" si="55"/>
        <v>0</v>
      </c>
      <c r="Q584" s="10" t="s">
        <v>8317</v>
      </c>
      <c r="R584" s="10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23</v>
      </c>
      <c r="V584">
        <f t="shared" si="5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 s="8">
        <f t="shared" si="55"/>
        <v>1</v>
      </c>
      <c r="Q585" s="10" t="s">
        <v>8317</v>
      </c>
      <c r="R585" s="10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30</v>
      </c>
      <c r="V585">
        <f t="shared" si="5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 s="8">
        <f t="shared" si="55"/>
        <v>5</v>
      </c>
      <c r="Q586" s="10" t="s">
        <v>8317</v>
      </c>
      <c r="R586" s="10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30</v>
      </c>
      <c r="V586">
        <f t="shared" si="5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s="8">
        <f t="shared" si="55"/>
        <v>0</v>
      </c>
      <c r="Q587" s="10" t="s">
        <v>8317</v>
      </c>
      <c r="R587" s="10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56</v>
      </c>
      <c r="V587">
        <f t="shared" si="5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 s="8">
        <f t="shared" si="55"/>
        <v>14</v>
      </c>
      <c r="Q588" s="10" t="s">
        <v>8317</v>
      </c>
      <c r="R588" s="10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30</v>
      </c>
      <c r="V588">
        <f t="shared" si="5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 s="8">
        <f t="shared" si="55"/>
        <v>389.29</v>
      </c>
      <c r="Q589" s="10" t="s">
        <v>8317</v>
      </c>
      <c r="R589" s="10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30</v>
      </c>
      <c r="V589">
        <f t="shared" si="5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 s="8">
        <f t="shared" si="55"/>
        <v>150.5</v>
      </c>
      <c r="Q590" s="10" t="s">
        <v>8317</v>
      </c>
      <c r="R590" s="1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60</v>
      </c>
      <c r="V590">
        <f t="shared" si="5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 s="8">
        <f t="shared" si="55"/>
        <v>1</v>
      </c>
      <c r="Q591" s="10" t="s">
        <v>8317</v>
      </c>
      <c r="R591" s="10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15</v>
      </c>
      <c r="V591">
        <f t="shared" si="5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 s="8">
        <f t="shared" si="55"/>
        <v>24.78</v>
      </c>
      <c r="Q592" s="10" t="s">
        <v>8317</v>
      </c>
      <c r="R592" s="10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31</v>
      </c>
      <c r="V592">
        <f t="shared" si="5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 s="8">
        <f t="shared" si="55"/>
        <v>30.5</v>
      </c>
      <c r="Q593" s="10" t="s">
        <v>8317</v>
      </c>
      <c r="R593" s="10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30</v>
      </c>
      <c r="V593">
        <f t="shared" si="5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 s="8">
        <f t="shared" si="55"/>
        <v>250</v>
      </c>
      <c r="Q594" s="10" t="s">
        <v>8317</v>
      </c>
      <c r="R594" s="10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30</v>
      </c>
      <c r="V594">
        <f t="shared" si="5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 s="8">
        <f t="shared" si="55"/>
        <v>16.43</v>
      </c>
      <c r="Q595" s="10" t="s">
        <v>8317</v>
      </c>
      <c r="R595" s="10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30</v>
      </c>
      <c r="V595">
        <f t="shared" si="5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 s="8">
        <f t="shared" si="55"/>
        <v>13</v>
      </c>
      <c r="Q596" s="10" t="s">
        <v>8317</v>
      </c>
      <c r="R596" s="10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30</v>
      </c>
      <c r="V596">
        <f t="shared" si="5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 s="8">
        <f t="shared" si="55"/>
        <v>53.25</v>
      </c>
      <c r="Q597" s="10" t="s">
        <v>8317</v>
      </c>
      <c r="R597" s="10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45</v>
      </c>
      <c r="V597">
        <f t="shared" si="5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 s="8">
        <f t="shared" si="55"/>
        <v>3</v>
      </c>
      <c r="Q598" s="10" t="s">
        <v>8317</v>
      </c>
      <c r="R598" s="10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30</v>
      </c>
      <c r="V598">
        <f t="shared" si="5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 s="8">
        <f t="shared" si="55"/>
        <v>10</v>
      </c>
      <c r="Q599" s="10" t="s">
        <v>8317</v>
      </c>
      <c r="R599" s="10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37</v>
      </c>
      <c r="V599">
        <f t="shared" si="5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 s="8">
        <f t="shared" si="55"/>
        <v>121.43</v>
      </c>
      <c r="Q600" s="10" t="s">
        <v>8317</v>
      </c>
      <c r="R600" s="1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30</v>
      </c>
      <c r="V600">
        <f t="shared" si="5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 s="8">
        <f t="shared" si="55"/>
        <v>15.5</v>
      </c>
      <c r="Q601" s="10" t="s">
        <v>8317</v>
      </c>
      <c r="R601" s="10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24</v>
      </c>
      <c r="V601">
        <f t="shared" si="5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 s="8">
        <f t="shared" si="55"/>
        <v>100</v>
      </c>
      <c r="Q602" s="10" t="s">
        <v>8317</v>
      </c>
      <c r="R602" s="10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60</v>
      </c>
      <c r="V602">
        <f t="shared" si="5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 s="8">
        <f t="shared" si="55"/>
        <v>23.33</v>
      </c>
      <c r="Q603" s="10" t="s">
        <v>8317</v>
      </c>
      <c r="R603" s="10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30</v>
      </c>
      <c r="V603">
        <f t="shared" si="5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s="8">
        <f t="shared" si="55"/>
        <v>0</v>
      </c>
      <c r="Q604" s="10" t="s">
        <v>8317</v>
      </c>
      <c r="R604" s="10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30</v>
      </c>
      <c r="V604">
        <f t="shared" si="5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 s="8">
        <f t="shared" si="55"/>
        <v>45.39</v>
      </c>
      <c r="Q605" s="10" t="s">
        <v>8317</v>
      </c>
      <c r="R605" s="10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30</v>
      </c>
      <c r="V605">
        <f t="shared" si="5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s="8">
        <f t="shared" si="55"/>
        <v>0</v>
      </c>
      <c r="Q606" s="10" t="s">
        <v>8317</v>
      </c>
      <c r="R606" s="10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30</v>
      </c>
      <c r="V606">
        <f t="shared" si="5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 s="8">
        <f t="shared" si="55"/>
        <v>16.38</v>
      </c>
      <c r="Q607" s="10" t="s">
        <v>8317</v>
      </c>
      <c r="R607" s="10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45</v>
      </c>
      <c r="V607">
        <f t="shared" si="5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 s="8">
        <f t="shared" si="55"/>
        <v>10</v>
      </c>
      <c r="Q608" s="10" t="s">
        <v>8317</v>
      </c>
      <c r="R608" s="10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46</v>
      </c>
      <c r="V608">
        <f t="shared" si="5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s="8">
        <f t="shared" si="55"/>
        <v>0</v>
      </c>
      <c r="Q609" s="10" t="s">
        <v>8317</v>
      </c>
      <c r="R609" s="10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30</v>
      </c>
      <c r="V609">
        <f t="shared" si="5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 s="8">
        <f t="shared" si="55"/>
        <v>292.2</v>
      </c>
      <c r="Q610" s="10" t="s">
        <v>8317</v>
      </c>
      <c r="R610" s="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30</v>
      </c>
      <c r="V610">
        <f t="shared" si="5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 s="8">
        <f t="shared" si="55"/>
        <v>5</v>
      </c>
      <c r="Q611" s="10" t="s">
        <v>8317</v>
      </c>
      <c r="R611" s="10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30</v>
      </c>
      <c r="V611">
        <f t="shared" si="5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s="8">
        <f t="shared" si="55"/>
        <v>0</v>
      </c>
      <c r="Q612" s="10" t="s">
        <v>8317</v>
      </c>
      <c r="R612" s="10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30</v>
      </c>
      <c r="V612">
        <f t="shared" si="5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s="8">
        <f t="shared" si="55"/>
        <v>0</v>
      </c>
      <c r="Q613" s="10" t="s">
        <v>8317</v>
      </c>
      <c r="R613" s="10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60</v>
      </c>
      <c r="V613">
        <f t="shared" si="5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s="8">
        <f t="shared" si="55"/>
        <v>0</v>
      </c>
      <c r="Q614" s="10" t="s">
        <v>8317</v>
      </c>
      <c r="R614" s="10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30</v>
      </c>
      <c r="V614">
        <f t="shared" si="5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 s="8">
        <f t="shared" si="55"/>
        <v>105.93</v>
      </c>
      <c r="Q615" s="10" t="s">
        <v>8317</v>
      </c>
      <c r="R615" s="10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31</v>
      </c>
      <c r="V615">
        <f t="shared" si="5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s="8">
        <f t="shared" si="55"/>
        <v>0</v>
      </c>
      <c r="Q616" s="10" t="s">
        <v>8317</v>
      </c>
      <c r="R616" s="10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30</v>
      </c>
      <c r="V616">
        <f t="shared" si="5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s="8">
        <f t="shared" si="55"/>
        <v>0</v>
      </c>
      <c r="Q617" s="10" t="s">
        <v>8317</v>
      </c>
      <c r="R617" s="10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30</v>
      </c>
      <c r="V617">
        <f t="shared" si="5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s="8">
        <f t="shared" si="55"/>
        <v>0</v>
      </c>
      <c r="Q618" s="10" t="s">
        <v>8317</v>
      </c>
      <c r="R618" s="10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30</v>
      </c>
      <c r="V618">
        <f t="shared" si="5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 s="8">
        <f t="shared" si="55"/>
        <v>20</v>
      </c>
      <c r="Q619" s="10" t="s">
        <v>8317</v>
      </c>
      <c r="R619" s="10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45</v>
      </c>
      <c r="V619">
        <f t="shared" si="5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s="8">
        <f t="shared" si="55"/>
        <v>0</v>
      </c>
      <c r="Q620" s="10" t="s">
        <v>8317</v>
      </c>
      <c r="R620" s="1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30</v>
      </c>
      <c r="V620">
        <f t="shared" si="5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 s="8">
        <f t="shared" si="55"/>
        <v>1</v>
      </c>
      <c r="Q621" s="10" t="s">
        <v>8317</v>
      </c>
      <c r="R621" s="10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60</v>
      </c>
      <c r="V621">
        <f t="shared" si="5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 s="8">
        <f t="shared" si="55"/>
        <v>300</v>
      </c>
      <c r="Q622" s="10" t="s">
        <v>8317</v>
      </c>
      <c r="R622" s="10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45</v>
      </c>
      <c r="V622">
        <f t="shared" si="5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 s="8">
        <f t="shared" si="55"/>
        <v>87</v>
      </c>
      <c r="Q623" s="10" t="s">
        <v>8317</v>
      </c>
      <c r="R623" s="10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30</v>
      </c>
      <c r="V623">
        <f t="shared" si="5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 s="8">
        <f t="shared" si="55"/>
        <v>37.89</v>
      </c>
      <c r="Q624" s="10" t="s">
        <v>8317</v>
      </c>
      <c r="R624" s="10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</v>
      </c>
      <c r="V624">
        <f t="shared" si="5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s="8">
        <f t="shared" si="55"/>
        <v>0</v>
      </c>
      <c r="Q625" s="10" t="s">
        <v>8317</v>
      </c>
      <c r="R625" s="10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30</v>
      </c>
      <c r="V625">
        <f t="shared" si="5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s="8">
        <f t="shared" si="55"/>
        <v>0</v>
      </c>
      <c r="Q626" s="10" t="s">
        <v>8317</v>
      </c>
      <c r="R626" s="10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30</v>
      </c>
      <c r="V626">
        <f t="shared" si="5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s="8">
        <f t="shared" si="55"/>
        <v>0</v>
      </c>
      <c r="Q627" s="10" t="s">
        <v>8317</v>
      </c>
      <c r="R627" s="10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30</v>
      </c>
      <c r="V627">
        <f t="shared" si="5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 s="8">
        <f t="shared" si="55"/>
        <v>111.41</v>
      </c>
      <c r="Q628" s="10" t="s">
        <v>8317</v>
      </c>
      <c r="R628" s="10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33</v>
      </c>
      <c r="V628">
        <f t="shared" si="5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 s="8">
        <f t="shared" si="55"/>
        <v>90</v>
      </c>
      <c r="Q629" s="10" t="s">
        <v>8317</v>
      </c>
      <c r="R629" s="10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60</v>
      </c>
      <c r="V629">
        <f t="shared" si="5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s="8">
        <f t="shared" si="55"/>
        <v>0</v>
      </c>
      <c r="Q630" s="10" t="s">
        <v>8317</v>
      </c>
      <c r="R630" s="1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30</v>
      </c>
      <c r="V630">
        <f t="shared" si="5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 s="8">
        <f t="shared" si="55"/>
        <v>116.67</v>
      </c>
      <c r="Q631" s="10" t="s">
        <v>8317</v>
      </c>
      <c r="R631" s="10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30</v>
      </c>
      <c r="V631">
        <f t="shared" si="5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 s="8">
        <f t="shared" si="55"/>
        <v>10</v>
      </c>
      <c r="Q632" s="10" t="s">
        <v>8317</v>
      </c>
      <c r="R632" s="10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30</v>
      </c>
      <c r="V632">
        <f t="shared" si="5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 s="8">
        <f t="shared" si="55"/>
        <v>76.67</v>
      </c>
      <c r="Q633" s="10" t="s">
        <v>8317</v>
      </c>
      <c r="R633" s="10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29</v>
      </c>
      <c r="V633">
        <f t="shared" si="5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s="8">
        <f t="shared" si="55"/>
        <v>0</v>
      </c>
      <c r="Q634" s="10" t="s">
        <v>8317</v>
      </c>
      <c r="R634" s="10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30</v>
      </c>
      <c r="V634">
        <f t="shared" si="5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 s="8">
        <f t="shared" si="55"/>
        <v>49.8</v>
      </c>
      <c r="Q635" s="10" t="s">
        <v>8317</v>
      </c>
      <c r="R635" s="10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32</v>
      </c>
      <c r="V635">
        <f t="shared" si="5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 s="8">
        <f t="shared" si="55"/>
        <v>1</v>
      </c>
      <c r="Q636" s="10" t="s">
        <v>8317</v>
      </c>
      <c r="R636" s="10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30</v>
      </c>
      <c r="V636">
        <f t="shared" si="5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 s="8">
        <f t="shared" si="55"/>
        <v>2</v>
      </c>
      <c r="Q637" s="10" t="s">
        <v>8317</v>
      </c>
      <c r="R637" s="10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30</v>
      </c>
      <c r="V637">
        <f t="shared" si="5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 s="8">
        <f t="shared" si="55"/>
        <v>4</v>
      </c>
      <c r="Q638" s="10" t="s">
        <v>8317</v>
      </c>
      <c r="R638" s="10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30</v>
      </c>
      <c r="V638">
        <f t="shared" si="5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s="8">
        <f t="shared" si="55"/>
        <v>0</v>
      </c>
      <c r="Q639" s="10" t="s">
        <v>8317</v>
      </c>
      <c r="R639" s="10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29</v>
      </c>
      <c r="V639">
        <f t="shared" si="5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 s="8">
        <f t="shared" si="55"/>
        <v>3</v>
      </c>
      <c r="Q640" s="10" t="s">
        <v>8317</v>
      </c>
      <c r="R640" s="1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60</v>
      </c>
      <c r="V640">
        <f t="shared" si="5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 s="8">
        <f t="shared" si="55"/>
        <v>1</v>
      </c>
      <c r="Q641" s="10" t="s">
        <v>8317</v>
      </c>
      <c r="R641" s="10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60</v>
      </c>
      <c r="V641">
        <f t="shared" si="5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ROUND((E642/D642)*100, 0)</f>
        <v>144</v>
      </c>
      <c r="P642" s="8">
        <f t="shared" ref="P642:P705" si="61">IFERROR(ROUND(E642/L642, 2), 0)</f>
        <v>50.5</v>
      </c>
      <c r="Q642" s="10" t="s">
        <v>8317</v>
      </c>
      <c r="R642" s="10" t="s">
        <v>8319</v>
      </c>
      <c r="S642" s="16">
        <f t="shared" ref="S642:S705" si="62">(J642/60/60/24)+DATE(1970, 1, 1)</f>
        <v>42683.420312500006</v>
      </c>
      <c r="T642" s="16">
        <f t="shared" ref="T642:T705" si="63">(I642/60/60/24)+DATE(1970, 1, 1)</f>
        <v>42698.958333333328</v>
      </c>
      <c r="U642">
        <f t="shared" si="58"/>
        <v>16</v>
      </c>
      <c r="V642">
        <f t="shared" si="5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 s="8">
        <f t="shared" si="61"/>
        <v>151.32</v>
      </c>
      <c r="Q643" s="10" t="s">
        <v>8317</v>
      </c>
      <c r="R643" s="10" t="s">
        <v>8319</v>
      </c>
      <c r="S643" s="16">
        <f t="shared" si="62"/>
        <v>42199.57</v>
      </c>
      <c r="T643" s="16">
        <f t="shared" si="63"/>
        <v>42229.57</v>
      </c>
      <c r="U643">
        <f t="shared" ref="U643:U706" si="64">ROUND(T643-S643, 0)</f>
        <v>30</v>
      </c>
      <c r="V643">
        <f t="shared" ref="V643:V706" si="65">YEAR($S643)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 s="8">
        <f t="shared" si="61"/>
        <v>134.36000000000001</v>
      </c>
      <c r="Q644" s="10" t="s">
        <v>8317</v>
      </c>
      <c r="R644" s="10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36</v>
      </c>
      <c r="V644">
        <f t="shared" si="65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 s="8">
        <f t="shared" si="61"/>
        <v>174.03</v>
      </c>
      <c r="Q645" s="10" t="s">
        <v>8317</v>
      </c>
      <c r="R645" s="10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55</v>
      </c>
      <c r="V645">
        <f t="shared" si="65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 s="8">
        <f t="shared" si="61"/>
        <v>73.489999999999995</v>
      </c>
      <c r="Q646" s="10" t="s">
        <v>8317</v>
      </c>
      <c r="R646" s="10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42</v>
      </c>
      <c r="V646">
        <f t="shared" si="65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 s="8">
        <f t="shared" si="61"/>
        <v>23.52</v>
      </c>
      <c r="Q647" s="10" t="s">
        <v>8317</v>
      </c>
      <c r="R647" s="10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30</v>
      </c>
      <c r="V647">
        <f t="shared" si="65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 s="8">
        <f t="shared" si="61"/>
        <v>39.07</v>
      </c>
      <c r="Q648" s="10" t="s">
        <v>8317</v>
      </c>
      <c r="R648" s="10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30</v>
      </c>
      <c r="V648">
        <f t="shared" si="65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 s="8">
        <f t="shared" si="61"/>
        <v>125.94</v>
      </c>
      <c r="Q649" s="10" t="s">
        <v>8317</v>
      </c>
      <c r="R649" s="10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30</v>
      </c>
      <c r="V649">
        <f t="shared" si="65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 s="8">
        <f t="shared" si="61"/>
        <v>1644</v>
      </c>
      <c r="Q650" s="10" t="s">
        <v>8317</v>
      </c>
      <c r="R650" s="1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35</v>
      </c>
      <c r="V650">
        <f t="shared" si="65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 s="8">
        <f t="shared" si="61"/>
        <v>42.67</v>
      </c>
      <c r="Q651" s="10" t="s">
        <v>8317</v>
      </c>
      <c r="R651" s="10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21</v>
      </c>
      <c r="V651">
        <f t="shared" si="65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 s="8">
        <f t="shared" si="61"/>
        <v>35.130000000000003</v>
      </c>
      <c r="Q652" s="10" t="s">
        <v>8317</v>
      </c>
      <c r="R652" s="10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60</v>
      </c>
      <c r="V652">
        <f t="shared" si="65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 s="8">
        <f t="shared" si="61"/>
        <v>239.35</v>
      </c>
      <c r="Q653" s="10" t="s">
        <v>8317</v>
      </c>
      <c r="R653" s="10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30</v>
      </c>
      <c r="V653">
        <f t="shared" si="65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 s="8">
        <f t="shared" si="61"/>
        <v>107.64</v>
      </c>
      <c r="Q654" s="10" t="s">
        <v>8317</v>
      </c>
      <c r="R654" s="10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30</v>
      </c>
      <c r="V654">
        <f t="shared" si="65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 s="8">
        <f t="shared" si="61"/>
        <v>95.83</v>
      </c>
      <c r="Q655" s="10" t="s">
        <v>8317</v>
      </c>
      <c r="R655" s="10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37</v>
      </c>
      <c r="V655">
        <f t="shared" si="65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 s="8">
        <f t="shared" si="61"/>
        <v>31.66</v>
      </c>
      <c r="Q656" s="10" t="s">
        <v>8317</v>
      </c>
      <c r="R656" s="10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30</v>
      </c>
      <c r="V656">
        <f t="shared" si="65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 s="8">
        <f t="shared" si="61"/>
        <v>42.89</v>
      </c>
      <c r="Q657" s="10" t="s">
        <v>8317</v>
      </c>
      <c r="R657" s="10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30</v>
      </c>
      <c r="V657">
        <f t="shared" si="65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 s="8">
        <f t="shared" si="61"/>
        <v>122.74</v>
      </c>
      <c r="Q658" s="10" t="s">
        <v>8317</v>
      </c>
      <c r="R658" s="10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60</v>
      </c>
      <c r="V658">
        <f t="shared" si="65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 s="8">
        <f t="shared" si="61"/>
        <v>190.45</v>
      </c>
      <c r="Q659" s="10" t="s">
        <v>8317</v>
      </c>
      <c r="R659" s="10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30</v>
      </c>
      <c r="V659">
        <f t="shared" si="65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 s="8">
        <f t="shared" si="61"/>
        <v>109.34</v>
      </c>
      <c r="Q660" s="10" t="s">
        <v>8317</v>
      </c>
      <c r="R660" s="1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33</v>
      </c>
      <c r="V660">
        <f t="shared" si="65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 s="8">
        <f t="shared" si="61"/>
        <v>143.66999999999999</v>
      </c>
      <c r="Q661" s="10" t="s">
        <v>8317</v>
      </c>
      <c r="R661" s="10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30</v>
      </c>
      <c r="V661">
        <f t="shared" si="65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 s="8">
        <f t="shared" si="61"/>
        <v>84.94</v>
      </c>
      <c r="Q662" s="10" t="s">
        <v>8317</v>
      </c>
      <c r="R662" s="10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30</v>
      </c>
      <c r="V662">
        <f t="shared" si="65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 s="8">
        <f t="shared" si="61"/>
        <v>10.56</v>
      </c>
      <c r="Q663" s="10" t="s">
        <v>8317</v>
      </c>
      <c r="R663" s="10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30</v>
      </c>
      <c r="V663">
        <f t="shared" si="65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 s="8">
        <f t="shared" si="61"/>
        <v>39</v>
      </c>
      <c r="Q664" s="10" t="s">
        <v>8317</v>
      </c>
      <c r="R664" s="10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30</v>
      </c>
      <c r="V664">
        <f t="shared" si="65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 s="8">
        <f t="shared" si="61"/>
        <v>100</v>
      </c>
      <c r="Q665" s="10" t="s">
        <v>8317</v>
      </c>
      <c r="R665" s="10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30</v>
      </c>
      <c r="V665">
        <f t="shared" si="65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 s="8">
        <f t="shared" si="61"/>
        <v>31.17</v>
      </c>
      <c r="Q666" s="10" t="s">
        <v>8317</v>
      </c>
      <c r="R666" s="10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30</v>
      </c>
      <c r="V666">
        <f t="shared" si="65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 s="8">
        <f t="shared" si="61"/>
        <v>155.33000000000001</v>
      </c>
      <c r="Q667" s="10" t="s">
        <v>8317</v>
      </c>
      <c r="R667" s="10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60</v>
      </c>
      <c r="V667">
        <f t="shared" si="65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 s="8">
        <f t="shared" si="61"/>
        <v>2</v>
      </c>
      <c r="Q668" s="10" t="s">
        <v>8317</v>
      </c>
      <c r="R668" s="10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30</v>
      </c>
      <c r="V668">
        <f t="shared" si="65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 s="8">
        <f t="shared" si="61"/>
        <v>178.93</v>
      </c>
      <c r="Q669" s="10" t="s">
        <v>8317</v>
      </c>
      <c r="R669" s="10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40</v>
      </c>
      <c r="V669">
        <f t="shared" si="65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 s="8">
        <f t="shared" si="61"/>
        <v>27.36</v>
      </c>
      <c r="Q670" s="10" t="s">
        <v>8317</v>
      </c>
      <c r="R670" s="1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45</v>
      </c>
      <c r="V670">
        <f t="shared" si="65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 s="8">
        <f t="shared" si="61"/>
        <v>1536.25</v>
      </c>
      <c r="Q671" s="10" t="s">
        <v>8317</v>
      </c>
      <c r="R671" s="10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30</v>
      </c>
      <c r="V671">
        <f t="shared" si="65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 s="8">
        <f t="shared" si="61"/>
        <v>85</v>
      </c>
      <c r="Q672" s="10" t="s">
        <v>8317</v>
      </c>
      <c r="R672" s="10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34</v>
      </c>
      <c r="V672">
        <f t="shared" si="65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 s="8">
        <f t="shared" si="61"/>
        <v>788.53</v>
      </c>
      <c r="Q673" s="10" t="s">
        <v>8317</v>
      </c>
      <c r="R673" s="10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33</v>
      </c>
      <c r="V673">
        <f t="shared" si="65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 s="8">
        <f t="shared" si="61"/>
        <v>50.3</v>
      </c>
      <c r="Q674" s="10" t="s">
        <v>8317</v>
      </c>
      <c r="R674" s="10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31</v>
      </c>
      <c r="V674">
        <f t="shared" si="65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 s="8">
        <f t="shared" si="61"/>
        <v>68.33</v>
      </c>
      <c r="Q675" s="10" t="s">
        <v>8317</v>
      </c>
      <c r="R675" s="10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45</v>
      </c>
      <c r="V675">
        <f t="shared" si="65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 s="8">
        <f t="shared" si="61"/>
        <v>7.5</v>
      </c>
      <c r="Q676" s="10" t="s">
        <v>8317</v>
      </c>
      <c r="R676" s="10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60</v>
      </c>
      <c r="V676">
        <f t="shared" si="65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 s="8">
        <f t="shared" si="61"/>
        <v>34.270000000000003</v>
      </c>
      <c r="Q677" s="10" t="s">
        <v>8317</v>
      </c>
      <c r="R677" s="10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29</v>
      </c>
      <c r="V677">
        <f t="shared" si="65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 s="8">
        <f t="shared" si="61"/>
        <v>61.29</v>
      </c>
      <c r="Q678" s="10" t="s">
        <v>8317</v>
      </c>
      <c r="R678" s="10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30</v>
      </c>
      <c r="V678">
        <f t="shared" si="65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 s="8">
        <f t="shared" si="61"/>
        <v>133.25</v>
      </c>
      <c r="Q679" s="10" t="s">
        <v>8317</v>
      </c>
      <c r="R679" s="10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45</v>
      </c>
      <c r="V679">
        <f t="shared" si="65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 s="8">
        <f t="shared" si="61"/>
        <v>65.180000000000007</v>
      </c>
      <c r="Q680" s="10" t="s">
        <v>8317</v>
      </c>
      <c r="R680" s="1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30</v>
      </c>
      <c r="V680">
        <f t="shared" si="65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 s="8">
        <f t="shared" si="61"/>
        <v>93.9</v>
      </c>
      <c r="Q681" s="10" t="s">
        <v>8317</v>
      </c>
      <c r="R681" s="10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60</v>
      </c>
      <c r="V681">
        <f t="shared" si="65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 s="8">
        <f t="shared" si="61"/>
        <v>150.65</v>
      </c>
      <c r="Q682" s="10" t="s">
        <v>8317</v>
      </c>
      <c r="R682" s="10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35</v>
      </c>
      <c r="V682">
        <f t="shared" si="65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 s="8">
        <f t="shared" si="61"/>
        <v>1</v>
      </c>
      <c r="Q683" s="10" t="s">
        <v>8317</v>
      </c>
      <c r="R683" s="10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30</v>
      </c>
      <c r="V683">
        <f t="shared" si="65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 s="8">
        <f t="shared" si="61"/>
        <v>13.25</v>
      </c>
      <c r="Q684" s="10" t="s">
        <v>8317</v>
      </c>
      <c r="R684" s="10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30</v>
      </c>
      <c r="V684">
        <f t="shared" si="65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 s="8">
        <f t="shared" si="61"/>
        <v>99.33</v>
      </c>
      <c r="Q685" s="10" t="s">
        <v>8317</v>
      </c>
      <c r="R685" s="10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40</v>
      </c>
      <c r="V685">
        <f t="shared" si="65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 s="8">
        <f t="shared" si="61"/>
        <v>177.39</v>
      </c>
      <c r="Q686" s="10" t="s">
        <v>8317</v>
      </c>
      <c r="R686" s="10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36</v>
      </c>
      <c r="V686">
        <f t="shared" si="65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 s="8">
        <f t="shared" si="61"/>
        <v>55.3</v>
      </c>
      <c r="Q687" s="10" t="s">
        <v>8317</v>
      </c>
      <c r="R687" s="10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45</v>
      </c>
      <c r="V687">
        <f t="shared" si="65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s="8">
        <f t="shared" si="61"/>
        <v>0</v>
      </c>
      <c r="Q688" s="10" t="s">
        <v>8317</v>
      </c>
      <c r="R688" s="10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30</v>
      </c>
      <c r="V688">
        <f t="shared" si="65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 s="8">
        <f t="shared" si="61"/>
        <v>591.66999999999996</v>
      </c>
      <c r="Q689" s="10" t="s">
        <v>8317</v>
      </c>
      <c r="R689" s="10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60</v>
      </c>
      <c r="V689">
        <f t="shared" si="65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 s="8">
        <f t="shared" si="61"/>
        <v>405.5</v>
      </c>
      <c r="Q690" s="10" t="s">
        <v>8317</v>
      </c>
      <c r="R690" s="1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30</v>
      </c>
      <c r="V690">
        <f t="shared" si="65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 s="8">
        <f t="shared" si="61"/>
        <v>343.15</v>
      </c>
      <c r="Q691" s="10" t="s">
        <v>8317</v>
      </c>
      <c r="R691" s="10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37</v>
      </c>
      <c r="V691">
        <f t="shared" si="65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 s="8">
        <f t="shared" si="61"/>
        <v>72.59</v>
      </c>
      <c r="Q692" s="10" t="s">
        <v>8317</v>
      </c>
      <c r="R692" s="10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43</v>
      </c>
      <c r="V692">
        <f t="shared" si="65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 s="8">
        <f t="shared" si="61"/>
        <v>26</v>
      </c>
      <c r="Q693" s="10" t="s">
        <v>8317</v>
      </c>
      <c r="R693" s="10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28</v>
      </c>
      <c r="V693">
        <f t="shared" si="65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 s="8">
        <f t="shared" si="61"/>
        <v>6.5</v>
      </c>
      <c r="Q694" s="10" t="s">
        <v>8317</v>
      </c>
      <c r="R694" s="10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30</v>
      </c>
      <c r="V694">
        <f t="shared" si="65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 s="8">
        <f t="shared" si="61"/>
        <v>119.39</v>
      </c>
      <c r="Q695" s="10" t="s">
        <v>8317</v>
      </c>
      <c r="R695" s="10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30</v>
      </c>
      <c r="V695">
        <f t="shared" si="65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 s="8">
        <f t="shared" si="61"/>
        <v>84.29</v>
      </c>
      <c r="Q696" s="10" t="s">
        <v>8317</v>
      </c>
      <c r="R696" s="10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30</v>
      </c>
      <c r="V696">
        <f t="shared" si="65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 s="8">
        <f t="shared" si="61"/>
        <v>90.86</v>
      </c>
      <c r="Q697" s="10" t="s">
        <v>8317</v>
      </c>
      <c r="R697" s="10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30</v>
      </c>
      <c r="V697">
        <f t="shared" si="65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 s="8">
        <f t="shared" si="61"/>
        <v>1</v>
      </c>
      <c r="Q698" s="10" t="s">
        <v>8317</v>
      </c>
      <c r="R698" s="10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30</v>
      </c>
      <c r="V698">
        <f t="shared" si="65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 s="8">
        <f t="shared" si="61"/>
        <v>20.34</v>
      </c>
      <c r="Q699" s="10" t="s">
        <v>8317</v>
      </c>
      <c r="R699" s="10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15</v>
      </c>
      <c r="V699">
        <f t="shared" si="65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 s="8">
        <f t="shared" si="61"/>
        <v>530.69000000000005</v>
      </c>
      <c r="Q700" s="10" t="s">
        <v>8317</v>
      </c>
      <c r="R700" s="1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33</v>
      </c>
      <c r="V700">
        <f t="shared" si="65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 s="8">
        <f t="shared" si="61"/>
        <v>120.39</v>
      </c>
      <c r="Q701" s="10" t="s">
        <v>8317</v>
      </c>
      <c r="R701" s="10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37</v>
      </c>
      <c r="V701">
        <f t="shared" si="65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 s="8">
        <f t="shared" si="61"/>
        <v>13</v>
      </c>
      <c r="Q702" s="10" t="s">
        <v>8317</v>
      </c>
      <c r="R702" s="10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30</v>
      </c>
      <c r="V702">
        <f t="shared" si="65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 s="8">
        <f t="shared" si="61"/>
        <v>291.33</v>
      </c>
      <c r="Q703" s="10" t="s">
        <v>8317</v>
      </c>
      <c r="R703" s="10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30</v>
      </c>
      <c r="V703">
        <f t="shared" si="65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 s="8">
        <f t="shared" si="61"/>
        <v>124.92</v>
      </c>
      <c r="Q704" s="10" t="s">
        <v>8317</v>
      </c>
      <c r="R704" s="10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30</v>
      </c>
      <c r="V704">
        <f t="shared" si="65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 s="8">
        <f t="shared" si="61"/>
        <v>119.57</v>
      </c>
      <c r="Q705" s="10" t="s">
        <v>8317</v>
      </c>
      <c r="R705" s="10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55</v>
      </c>
      <c r="V705">
        <f t="shared" si="65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ROUND((E706/D706)*100, 0)</f>
        <v>1</v>
      </c>
      <c r="P706" s="8">
        <f t="shared" ref="P706:P769" si="67">IFERROR(ROUND(E706/L706, 2), 0)</f>
        <v>120.25</v>
      </c>
      <c r="Q706" s="10" t="s">
        <v>8317</v>
      </c>
      <c r="R706" s="10" t="s">
        <v>8319</v>
      </c>
      <c r="S706" s="16">
        <f t="shared" ref="S706:S769" si="68">(J706/60/60/24)+DATE(1970, 1, 1)</f>
        <v>42726.192916666667</v>
      </c>
      <c r="T706" s="16">
        <f t="shared" ref="T706:T769" si="69">(I706/60/60/24)+DATE(1970, 1, 1)</f>
        <v>42786.192916666667</v>
      </c>
      <c r="U706">
        <f t="shared" si="64"/>
        <v>60</v>
      </c>
      <c r="V706">
        <f t="shared" si="65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 s="8">
        <f t="shared" si="67"/>
        <v>195.4</v>
      </c>
      <c r="Q707" s="10" t="s">
        <v>8317</v>
      </c>
      <c r="R707" s="10" t="s">
        <v>8319</v>
      </c>
      <c r="S707" s="16">
        <f t="shared" si="68"/>
        <v>42726.491643518515</v>
      </c>
      <c r="T707" s="16">
        <f t="shared" si="69"/>
        <v>42756.491643518515</v>
      </c>
      <c r="U707">
        <f t="shared" ref="U707:U770" si="70">ROUND(T707-S707, 0)</f>
        <v>30</v>
      </c>
      <c r="V707">
        <f t="shared" ref="V707:V770" si="71">YEAR($S707)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 s="8">
        <f t="shared" si="67"/>
        <v>0</v>
      </c>
      <c r="Q708" s="10" t="s">
        <v>8317</v>
      </c>
      <c r="R708" s="10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42</v>
      </c>
      <c r="V708">
        <f t="shared" si="71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 s="8">
        <f t="shared" si="67"/>
        <v>117.7</v>
      </c>
      <c r="Q709" s="10" t="s">
        <v>8317</v>
      </c>
      <c r="R709" s="10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40</v>
      </c>
      <c r="V709">
        <f t="shared" si="71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 s="8">
        <f t="shared" si="67"/>
        <v>23.95</v>
      </c>
      <c r="Q710" s="10" t="s">
        <v>8317</v>
      </c>
      <c r="R710" s="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60</v>
      </c>
      <c r="V710">
        <f t="shared" si="71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 s="8">
        <f t="shared" si="67"/>
        <v>30.5</v>
      </c>
      <c r="Q711" s="10" t="s">
        <v>8317</v>
      </c>
      <c r="R711" s="10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30</v>
      </c>
      <c r="V711">
        <f t="shared" si="71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 s="8">
        <f t="shared" si="67"/>
        <v>0</v>
      </c>
      <c r="Q712" s="10" t="s">
        <v>8317</v>
      </c>
      <c r="R712" s="10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33</v>
      </c>
      <c r="V712">
        <f t="shared" si="71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 s="8">
        <f t="shared" si="67"/>
        <v>99.97</v>
      </c>
      <c r="Q713" s="10" t="s">
        <v>8317</v>
      </c>
      <c r="R713" s="10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40</v>
      </c>
      <c r="V713">
        <f t="shared" si="71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 s="8">
        <f t="shared" si="67"/>
        <v>26.25</v>
      </c>
      <c r="Q714" s="10" t="s">
        <v>8317</v>
      </c>
      <c r="R714" s="10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30</v>
      </c>
      <c r="V714">
        <f t="shared" si="71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 s="8">
        <f t="shared" si="67"/>
        <v>199</v>
      </c>
      <c r="Q715" s="10" t="s">
        <v>8317</v>
      </c>
      <c r="R715" s="10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30</v>
      </c>
      <c r="V715">
        <f t="shared" si="71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 s="8">
        <f t="shared" si="67"/>
        <v>80.319999999999993</v>
      </c>
      <c r="Q716" s="10" t="s">
        <v>8317</v>
      </c>
      <c r="R716" s="10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60</v>
      </c>
      <c r="V716">
        <f t="shared" si="71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 s="8">
        <f t="shared" si="67"/>
        <v>115.75</v>
      </c>
      <c r="Q717" s="10" t="s">
        <v>8317</v>
      </c>
      <c r="R717" s="10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40</v>
      </c>
      <c r="V717">
        <f t="shared" si="71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 s="8">
        <f t="shared" si="67"/>
        <v>44.69</v>
      </c>
      <c r="Q718" s="10" t="s">
        <v>8317</v>
      </c>
      <c r="R718" s="10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33</v>
      </c>
      <c r="V718">
        <f t="shared" si="71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 s="8">
        <f t="shared" si="67"/>
        <v>76.25</v>
      </c>
      <c r="Q719" s="10" t="s">
        <v>8317</v>
      </c>
      <c r="R719" s="10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30</v>
      </c>
      <c r="V719">
        <f t="shared" si="71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 s="8">
        <f t="shared" si="67"/>
        <v>22.5</v>
      </c>
      <c r="Q720" s="10" t="s">
        <v>8317</v>
      </c>
      <c r="R720" s="1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31</v>
      </c>
      <c r="V720">
        <f t="shared" si="71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 s="8">
        <f t="shared" si="67"/>
        <v>19.399999999999999</v>
      </c>
      <c r="Q721" s="10" t="s">
        <v>8317</v>
      </c>
      <c r="R721" s="10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14</v>
      </c>
      <c r="V721">
        <f t="shared" si="71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 s="8">
        <f t="shared" si="67"/>
        <v>66.709999999999994</v>
      </c>
      <c r="Q722" s="10" t="s">
        <v>8320</v>
      </c>
      <c r="R722" s="10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28</v>
      </c>
      <c r="V722">
        <f t="shared" si="71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 s="8">
        <f t="shared" si="67"/>
        <v>84.14</v>
      </c>
      <c r="Q723" s="10" t="s">
        <v>8320</v>
      </c>
      <c r="R723" s="10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45</v>
      </c>
      <c r="V723">
        <f t="shared" si="71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 s="8">
        <f t="shared" si="67"/>
        <v>215.73</v>
      </c>
      <c r="Q724" s="10" t="s">
        <v>8320</v>
      </c>
      <c r="R724" s="10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30</v>
      </c>
      <c r="V724">
        <f t="shared" si="71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 s="8">
        <f t="shared" si="67"/>
        <v>54.69</v>
      </c>
      <c r="Q725" s="10" t="s">
        <v>8320</v>
      </c>
      <c r="R725" s="10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30</v>
      </c>
      <c r="V725">
        <f t="shared" si="71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 s="8">
        <f t="shared" si="67"/>
        <v>51.63</v>
      </c>
      <c r="Q726" s="10" t="s">
        <v>8320</v>
      </c>
      <c r="R726" s="10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30</v>
      </c>
      <c r="V726">
        <f t="shared" si="71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 s="8">
        <f t="shared" si="67"/>
        <v>143.36000000000001</v>
      </c>
      <c r="Q727" s="10" t="s">
        <v>8320</v>
      </c>
      <c r="R727" s="10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30</v>
      </c>
      <c r="V727">
        <f t="shared" si="71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 s="8">
        <f t="shared" si="67"/>
        <v>72.430000000000007</v>
      </c>
      <c r="Q728" s="10" t="s">
        <v>8320</v>
      </c>
      <c r="R728" s="10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30</v>
      </c>
      <c r="V728">
        <f t="shared" si="71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 s="8">
        <f t="shared" si="67"/>
        <v>36.53</v>
      </c>
      <c r="Q729" s="10" t="s">
        <v>8320</v>
      </c>
      <c r="R729" s="10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42</v>
      </c>
      <c r="V729">
        <f t="shared" si="71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 s="8">
        <f t="shared" si="67"/>
        <v>60.9</v>
      </c>
      <c r="Q730" s="10" t="s">
        <v>8320</v>
      </c>
      <c r="R730" s="1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45</v>
      </c>
      <c r="V730">
        <f t="shared" si="71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 s="8">
        <f t="shared" si="67"/>
        <v>43.55</v>
      </c>
      <c r="Q731" s="10" t="s">
        <v>8320</v>
      </c>
      <c r="R731" s="10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60</v>
      </c>
      <c r="V731">
        <f t="shared" si="71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 s="8">
        <f t="shared" si="67"/>
        <v>99.77</v>
      </c>
      <c r="Q732" s="10" t="s">
        <v>8320</v>
      </c>
      <c r="R732" s="10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30</v>
      </c>
      <c r="V732">
        <f t="shared" si="71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 s="8">
        <f t="shared" si="67"/>
        <v>88.73</v>
      </c>
      <c r="Q733" s="10" t="s">
        <v>8320</v>
      </c>
      <c r="R733" s="10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50</v>
      </c>
      <c r="V733">
        <f t="shared" si="71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 s="8">
        <f t="shared" si="67"/>
        <v>4.92</v>
      </c>
      <c r="Q734" s="10" t="s">
        <v>8320</v>
      </c>
      <c r="R734" s="10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60</v>
      </c>
      <c r="V734">
        <f t="shared" si="71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 s="8">
        <f t="shared" si="67"/>
        <v>17.82</v>
      </c>
      <c r="Q735" s="10" t="s">
        <v>8320</v>
      </c>
      <c r="R735" s="10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30</v>
      </c>
      <c r="V735">
        <f t="shared" si="71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 s="8">
        <f t="shared" si="67"/>
        <v>187.19</v>
      </c>
      <c r="Q736" s="10" t="s">
        <v>8320</v>
      </c>
      <c r="R736" s="10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31</v>
      </c>
      <c r="V736">
        <f t="shared" si="71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 s="8">
        <f t="shared" si="67"/>
        <v>234.81</v>
      </c>
      <c r="Q737" s="10" t="s">
        <v>8320</v>
      </c>
      <c r="R737" s="10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31</v>
      </c>
      <c r="V737">
        <f t="shared" si="71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 s="8">
        <f t="shared" si="67"/>
        <v>105.05</v>
      </c>
      <c r="Q738" s="10" t="s">
        <v>8320</v>
      </c>
      <c r="R738" s="10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19</v>
      </c>
      <c r="V738">
        <f t="shared" si="71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 s="8">
        <f t="shared" si="67"/>
        <v>56.67</v>
      </c>
      <c r="Q739" s="10" t="s">
        <v>8320</v>
      </c>
      <c r="R739" s="10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18</v>
      </c>
      <c r="V739">
        <f t="shared" si="71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 s="8">
        <f t="shared" si="67"/>
        <v>39.049999999999997</v>
      </c>
      <c r="Q740" s="10" t="s">
        <v>8320</v>
      </c>
      <c r="R740" s="1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31</v>
      </c>
      <c r="V740">
        <f t="shared" si="71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 s="8">
        <f t="shared" si="67"/>
        <v>68.349999999999994</v>
      </c>
      <c r="Q741" s="10" t="s">
        <v>8320</v>
      </c>
      <c r="R741" s="10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33</v>
      </c>
      <c r="V741">
        <f t="shared" si="71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 s="8">
        <f t="shared" si="67"/>
        <v>169.58</v>
      </c>
      <c r="Q742" s="10" t="s">
        <v>8320</v>
      </c>
      <c r="R742" s="10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14</v>
      </c>
      <c r="V742">
        <f t="shared" si="71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 s="8">
        <f t="shared" si="67"/>
        <v>141.41999999999999</v>
      </c>
      <c r="Q743" s="10" t="s">
        <v>8320</v>
      </c>
      <c r="R743" s="10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35</v>
      </c>
      <c r="V743">
        <f t="shared" si="71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 s="8">
        <f t="shared" si="67"/>
        <v>67.39</v>
      </c>
      <c r="Q744" s="10" t="s">
        <v>8320</v>
      </c>
      <c r="R744" s="10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30</v>
      </c>
      <c r="V744">
        <f t="shared" si="71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 s="8">
        <f t="shared" si="67"/>
        <v>54.27</v>
      </c>
      <c r="Q745" s="10" t="s">
        <v>8320</v>
      </c>
      <c r="R745" s="10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25</v>
      </c>
      <c r="V745">
        <f t="shared" si="71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 s="8">
        <f t="shared" si="67"/>
        <v>82.52</v>
      </c>
      <c r="Q746" s="10" t="s">
        <v>8320</v>
      </c>
      <c r="R746" s="10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30</v>
      </c>
      <c r="V746">
        <f t="shared" si="71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 s="8">
        <f t="shared" si="67"/>
        <v>53.73</v>
      </c>
      <c r="Q747" s="10" t="s">
        <v>8320</v>
      </c>
      <c r="R747" s="10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30</v>
      </c>
      <c r="V747">
        <f t="shared" si="71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 s="8">
        <f t="shared" si="67"/>
        <v>34.21</v>
      </c>
      <c r="Q748" s="10" t="s">
        <v>8320</v>
      </c>
      <c r="R748" s="10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18</v>
      </c>
      <c r="V748">
        <f t="shared" si="71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 s="8">
        <f t="shared" si="67"/>
        <v>127.33</v>
      </c>
      <c r="Q749" s="10" t="s">
        <v>8320</v>
      </c>
      <c r="R749" s="10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31</v>
      </c>
      <c r="V749">
        <f t="shared" si="71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 s="8">
        <f t="shared" si="67"/>
        <v>45.57</v>
      </c>
      <c r="Q750" s="10" t="s">
        <v>8320</v>
      </c>
      <c r="R750" s="1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30</v>
      </c>
      <c r="V750">
        <f t="shared" si="71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 s="8">
        <f t="shared" si="67"/>
        <v>95.96</v>
      </c>
      <c r="Q751" s="10" t="s">
        <v>8320</v>
      </c>
      <c r="R751" s="10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30</v>
      </c>
      <c r="V751">
        <f t="shared" si="71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 s="8">
        <f t="shared" si="67"/>
        <v>77.27</v>
      </c>
      <c r="Q752" s="10" t="s">
        <v>8320</v>
      </c>
      <c r="R752" s="10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30</v>
      </c>
      <c r="V752">
        <f t="shared" si="71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 s="8">
        <f t="shared" si="67"/>
        <v>57.34</v>
      </c>
      <c r="Q753" s="10" t="s">
        <v>8320</v>
      </c>
      <c r="R753" s="10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46</v>
      </c>
      <c r="V753">
        <f t="shared" si="71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 s="8">
        <f t="shared" si="67"/>
        <v>53.19</v>
      </c>
      <c r="Q754" s="10" t="s">
        <v>8320</v>
      </c>
      <c r="R754" s="10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</v>
      </c>
      <c r="V754">
        <f t="shared" si="71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 s="8">
        <f t="shared" si="67"/>
        <v>492.31</v>
      </c>
      <c r="Q755" s="10" t="s">
        <v>8320</v>
      </c>
      <c r="R755" s="10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30</v>
      </c>
      <c r="V755">
        <f t="shared" si="71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 s="8">
        <f t="shared" si="67"/>
        <v>42.35</v>
      </c>
      <c r="Q756" s="10" t="s">
        <v>8320</v>
      </c>
      <c r="R756" s="10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30</v>
      </c>
      <c r="V756">
        <f t="shared" si="71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 s="8">
        <f t="shared" si="67"/>
        <v>37.47</v>
      </c>
      <c r="Q757" s="10" t="s">
        <v>8320</v>
      </c>
      <c r="R757" s="10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30</v>
      </c>
      <c r="V757">
        <f t="shared" si="71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 s="8">
        <f t="shared" si="67"/>
        <v>37.450000000000003</v>
      </c>
      <c r="Q758" s="10" t="s">
        <v>8320</v>
      </c>
      <c r="R758" s="10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61</v>
      </c>
      <c r="V758">
        <f t="shared" si="71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 s="8">
        <f t="shared" si="67"/>
        <v>33.06</v>
      </c>
      <c r="Q759" s="10" t="s">
        <v>8320</v>
      </c>
      <c r="R759" s="10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14</v>
      </c>
      <c r="V759">
        <f t="shared" si="71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 s="8">
        <f t="shared" si="67"/>
        <v>134.21</v>
      </c>
      <c r="Q760" s="10" t="s">
        <v>8320</v>
      </c>
      <c r="R760" s="1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30</v>
      </c>
      <c r="V760">
        <f t="shared" si="71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 s="8">
        <f t="shared" si="67"/>
        <v>51.47</v>
      </c>
      <c r="Q761" s="10" t="s">
        <v>8320</v>
      </c>
      <c r="R761" s="10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40</v>
      </c>
      <c r="V761">
        <f t="shared" si="71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 s="8">
        <f t="shared" si="67"/>
        <v>0</v>
      </c>
      <c r="Q762" s="10" t="s">
        <v>8320</v>
      </c>
      <c r="R762" s="10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30</v>
      </c>
      <c r="V762">
        <f t="shared" si="71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 s="8">
        <f t="shared" si="67"/>
        <v>39.17</v>
      </c>
      <c r="Q763" s="10" t="s">
        <v>8320</v>
      </c>
      <c r="R763" s="10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30</v>
      </c>
      <c r="V763">
        <f t="shared" si="71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 s="8">
        <f t="shared" si="67"/>
        <v>0</v>
      </c>
      <c r="Q764" s="10" t="s">
        <v>8320</v>
      </c>
      <c r="R764" s="10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17</v>
      </c>
      <c r="V764">
        <f t="shared" si="71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 s="8">
        <f t="shared" si="67"/>
        <v>5</v>
      </c>
      <c r="Q765" s="10" t="s">
        <v>8320</v>
      </c>
      <c r="R765" s="10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30</v>
      </c>
      <c r="V765">
        <f t="shared" si="71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 s="8">
        <f t="shared" si="67"/>
        <v>0</v>
      </c>
      <c r="Q766" s="10" t="s">
        <v>8320</v>
      </c>
      <c r="R766" s="10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30</v>
      </c>
      <c r="V766">
        <f t="shared" si="71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 s="8">
        <f t="shared" si="67"/>
        <v>57.3</v>
      </c>
      <c r="Q767" s="10" t="s">
        <v>8320</v>
      </c>
      <c r="R767" s="10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30</v>
      </c>
      <c r="V767">
        <f t="shared" si="71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 s="8">
        <f t="shared" si="67"/>
        <v>0</v>
      </c>
      <c r="Q768" s="10" t="s">
        <v>8320</v>
      </c>
      <c r="R768" s="10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30</v>
      </c>
      <c r="V768">
        <f t="shared" si="71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 s="8">
        <f t="shared" si="67"/>
        <v>59</v>
      </c>
      <c r="Q769" s="10" t="s">
        <v>8320</v>
      </c>
      <c r="R769" s="10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30</v>
      </c>
      <c r="V769">
        <f t="shared" si="71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ROUND((E770/D770)*100, 0)</f>
        <v>0</v>
      </c>
      <c r="P770" s="8">
        <f t="shared" ref="P770:P833" si="73">IFERROR(ROUND(E770/L770, 2), 0)</f>
        <v>0</v>
      </c>
      <c r="Q770" s="10" t="s">
        <v>8320</v>
      </c>
      <c r="R770" s="10" t="s">
        <v>8322</v>
      </c>
      <c r="S770" s="16">
        <f t="shared" ref="S770:S833" si="74">(J770/60/60/24)+DATE(1970, 1, 1)</f>
        <v>41594.207060185188</v>
      </c>
      <c r="T770" s="16">
        <f t="shared" ref="T770:T833" si="75">(I770/60/60/24)+DATE(1970, 1, 1)</f>
        <v>41624.207060185188</v>
      </c>
      <c r="U770">
        <f t="shared" si="70"/>
        <v>30</v>
      </c>
      <c r="V770">
        <f t="shared" si="71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 s="8">
        <f t="shared" si="73"/>
        <v>31.85</v>
      </c>
      <c r="Q771" s="10" t="s">
        <v>8320</v>
      </c>
      <c r="R771" s="10" t="s">
        <v>8322</v>
      </c>
      <c r="S771" s="16">
        <f t="shared" si="74"/>
        <v>41604.996458333335</v>
      </c>
      <c r="T771" s="16">
        <f t="shared" si="75"/>
        <v>41634.996458333335</v>
      </c>
      <c r="U771">
        <f t="shared" ref="U771:U834" si="76">ROUND(T771-S771, 0)</f>
        <v>30</v>
      </c>
      <c r="V771">
        <f t="shared" ref="V771:V834" si="77">YEAR($S771)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 s="8">
        <f t="shared" si="73"/>
        <v>0</v>
      </c>
      <c r="Q772" s="10" t="s">
        <v>8320</v>
      </c>
      <c r="R772" s="10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40</v>
      </c>
      <c r="V772">
        <f t="shared" si="77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 s="8">
        <f t="shared" si="73"/>
        <v>10</v>
      </c>
      <c r="Q773" s="10" t="s">
        <v>8320</v>
      </c>
      <c r="R773" s="10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50</v>
      </c>
      <c r="V773">
        <f t="shared" si="77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 s="8">
        <f t="shared" si="73"/>
        <v>50</v>
      </c>
      <c r="Q774" s="10" t="s">
        <v>8320</v>
      </c>
      <c r="R774" s="10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50</v>
      </c>
      <c r="V774">
        <f t="shared" si="77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 s="8">
        <f t="shared" si="73"/>
        <v>16</v>
      </c>
      <c r="Q775" s="10" t="s">
        <v>8320</v>
      </c>
      <c r="R775" s="10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34</v>
      </c>
      <c r="V775">
        <f t="shared" si="77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 s="8">
        <f t="shared" si="73"/>
        <v>39</v>
      </c>
      <c r="Q776" s="10" t="s">
        <v>8320</v>
      </c>
      <c r="R776" s="10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30</v>
      </c>
      <c r="V776">
        <f t="shared" si="77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 s="8">
        <f t="shared" si="73"/>
        <v>34</v>
      </c>
      <c r="Q777" s="10" t="s">
        <v>8320</v>
      </c>
      <c r="R777" s="10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30</v>
      </c>
      <c r="V777">
        <f t="shared" si="77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 s="8">
        <f t="shared" si="73"/>
        <v>63.12</v>
      </c>
      <c r="Q778" s="10" t="s">
        <v>8320</v>
      </c>
      <c r="R778" s="10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38</v>
      </c>
      <c r="V778">
        <f t="shared" si="77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 s="8">
        <f t="shared" si="73"/>
        <v>7</v>
      </c>
      <c r="Q779" s="10" t="s">
        <v>8320</v>
      </c>
      <c r="R779" s="10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30</v>
      </c>
      <c r="V779">
        <f t="shared" si="77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 s="8">
        <f t="shared" si="73"/>
        <v>2</v>
      </c>
      <c r="Q780" s="10" t="s">
        <v>8320</v>
      </c>
      <c r="R780" s="1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30</v>
      </c>
      <c r="V780">
        <f t="shared" si="77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 s="8">
        <f t="shared" si="73"/>
        <v>66.67</v>
      </c>
      <c r="Q781" s="10" t="s">
        <v>8320</v>
      </c>
      <c r="R781" s="10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29</v>
      </c>
      <c r="V781">
        <f t="shared" si="77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 s="8">
        <f t="shared" si="73"/>
        <v>38.520000000000003</v>
      </c>
      <c r="Q782" s="10" t="s">
        <v>8323</v>
      </c>
      <c r="R782" s="10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30</v>
      </c>
      <c r="V782">
        <f t="shared" si="77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 s="8">
        <f t="shared" si="73"/>
        <v>42.61</v>
      </c>
      <c r="Q783" s="10" t="s">
        <v>8323</v>
      </c>
      <c r="R783" s="10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30</v>
      </c>
      <c r="V783">
        <f t="shared" si="77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 s="8">
        <f t="shared" si="73"/>
        <v>50</v>
      </c>
      <c r="Q784" s="10" t="s">
        <v>8323</v>
      </c>
      <c r="R784" s="10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30</v>
      </c>
      <c r="V784">
        <f t="shared" si="77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 s="8">
        <f t="shared" si="73"/>
        <v>63.49</v>
      </c>
      <c r="Q785" s="10" t="s">
        <v>8323</v>
      </c>
      <c r="R785" s="10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39</v>
      </c>
      <c r="V785">
        <f t="shared" si="77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 s="8">
        <f t="shared" si="73"/>
        <v>102.5</v>
      </c>
      <c r="Q786" s="10" t="s">
        <v>8323</v>
      </c>
      <c r="R786" s="10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40</v>
      </c>
      <c r="V786">
        <f t="shared" si="77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 s="8">
        <f t="shared" si="73"/>
        <v>31.14</v>
      </c>
      <c r="Q787" s="10" t="s">
        <v>8323</v>
      </c>
      <c r="R787" s="10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30</v>
      </c>
      <c r="V787">
        <f t="shared" si="77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 s="8">
        <f t="shared" si="73"/>
        <v>162.27000000000001</v>
      </c>
      <c r="Q788" s="10" t="s">
        <v>8323</v>
      </c>
      <c r="R788" s="10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58</v>
      </c>
      <c r="V788">
        <f t="shared" si="77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 s="8">
        <f t="shared" si="73"/>
        <v>80.59</v>
      </c>
      <c r="Q789" s="10" t="s">
        <v>8323</v>
      </c>
      <c r="R789" s="10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30</v>
      </c>
      <c r="V789">
        <f t="shared" si="77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 s="8">
        <f t="shared" si="73"/>
        <v>59.85</v>
      </c>
      <c r="Q790" s="10" t="s">
        <v>8323</v>
      </c>
      <c r="R790" s="1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38</v>
      </c>
      <c r="V790">
        <f t="shared" si="77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 s="8">
        <f t="shared" si="73"/>
        <v>132.86000000000001</v>
      </c>
      <c r="Q791" s="10" t="s">
        <v>8323</v>
      </c>
      <c r="R791" s="10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18</v>
      </c>
      <c r="V791">
        <f t="shared" si="77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 s="8">
        <f t="shared" si="73"/>
        <v>92.55</v>
      </c>
      <c r="Q792" s="10" t="s">
        <v>8323</v>
      </c>
      <c r="R792" s="10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30</v>
      </c>
      <c r="V792">
        <f t="shared" si="77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 s="8">
        <f t="shared" si="73"/>
        <v>60.86</v>
      </c>
      <c r="Q793" s="10" t="s">
        <v>8323</v>
      </c>
      <c r="R793" s="10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33</v>
      </c>
      <c r="V793">
        <f t="shared" si="77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 s="8">
        <f t="shared" si="73"/>
        <v>41.85</v>
      </c>
      <c r="Q794" s="10" t="s">
        <v>8323</v>
      </c>
      <c r="R794" s="10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30</v>
      </c>
      <c r="V794">
        <f t="shared" si="77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 s="8">
        <f t="shared" si="73"/>
        <v>88.33</v>
      </c>
      <c r="Q795" s="10" t="s">
        <v>8323</v>
      </c>
      <c r="R795" s="10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15</v>
      </c>
      <c r="V795">
        <f t="shared" si="77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 s="8">
        <f t="shared" si="73"/>
        <v>158.96</v>
      </c>
      <c r="Q796" s="10" t="s">
        <v>8323</v>
      </c>
      <c r="R796" s="10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56</v>
      </c>
      <c r="V796">
        <f t="shared" si="77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 s="8">
        <f t="shared" si="73"/>
        <v>85.05</v>
      </c>
      <c r="Q797" s="10" t="s">
        <v>8323</v>
      </c>
      <c r="R797" s="10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43</v>
      </c>
      <c r="V797">
        <f t="shared" si="77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 s="8">
        <f t="shared" si="73"/>
        <v>112.61</v>
      </c>
      <c r="Q798" s="10" t="s">
        <v>8323</v>
      </c>
      <c r="R798" s="10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30</v>
      </c>
      <c r="V798">
        <f t="shared" si="77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 s="8">
        <f t="shared" si="73"/>
        <v>45.44</v>
      </c>
      <c r="Q799" s="10" t="s">
        <v>8323</v>
      </c>
      <c r="R799" s="10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31</v>
      </c>
      <c r="V799">
        <f t="shared" si="77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 s="8">
        <f t="shared" si="73"/>
        <v>46.22</v>
      </c>
      <c r="Q800" s="10" t="s">
        <v>8323</v>
      </c>
      <c r="R800" s="1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30</v>
      </c>
      <c r="V800">
        <f t="shared" si="77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 s="8">
        <f t="shared" si="73"/>
        <v>178.61</v>
      </c>
      <c r="Q801" s="10" t="s">
        <v>8323</v>
      </c>
      <c r="R801" s="10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30</v>
      </c>
      <c r="V801">
        <f t="shared" si="77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 s="8">
        <f t="shared" si="73"/>
        <v>40.75</v>
      </c>
      <c r="Q802" s="10" t="s">
        <v>8323</v>
      </c>
      <c r="R802" s="10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30</v>
      </c>
      <c r="V802">
        <f t="shared" si="77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 s="8">
        <f t="shared" si="73"/>
        <v>43.73</v>
      </c>
      <c r="Q803" s="10" t="s">
        <v>8323</v>
      </c>
      <c r="R803" s="10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30</v>
      </c>
      <c r="V803">
        <f t="shared" si="77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 s="8">
        <f t="shared" si="73"/>
        <v>81.069999999999993</v>
      </c>
      <c r="Q804" s="10" t="s">
        <v>8323</v>
      </c>
      <c r="R804" s="10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46</v>
      </c>
      <c r="V804">
        <f t="shared" si="77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 s="8">
        <f t="shared" si="73"/>
        <v>74.61</v>
      </c>
      <c r="Q805" s="10" t="s">
        <v>8323</v>
      </c>
      <c r="R805" s="10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26</v>
      </c>
      <c r="V805">
        <f t="shared" si="77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 s="8">
        <f t="shared" si="73"/>
        <v>305.56</v>
      </c>
      <c r="Q806" s="10" t="s">
        <v>8323</v>
      </c>
      <c r="R806" s="10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17</v>
      </c>
      <c r="V806">
        <f t="shared" si="77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 s="8">
        <f t="shared" si="73"/>
        <v>58.33</v>
      </c>
      <c r="Q807" s="10" t="s">
        <v>8323</v>
      </c>
      <c r="R807" s="10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50</v>
      </c>
      <c r="V807">
        <f t="shared" si="77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 s="8">
        <f t="shared" si="73"/>
        <v>117.68</v>
      </c>
      <c r="Q808" s="10" t="s">
        <v>8323</v>
      </c>
      <c r="R808" s="10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30</v>
      </c>
      <c r="V808">
        <f t="shared" si="77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 s="8">
        <f t="shared" si="73"/>
        <v>73.77</v>
      </c>
      <c r="Q809" s="10" t="s">
        <v>8323</v>
      </c>
      <c r="R809" s="10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35</v>
      </c>
      <c r="V809">
        <f t="shared" si="77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 s="8">
        <f t="shared" si="73"/>
        <v>104.65</v>
      </c>
      <c r="Q810" s="10" t="s">
        <v>8323</v>
      </c>
      <c r="R810" s="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33</v>
      </c>
      <c r="V810">
        <f t="shared" si="77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 s="8">
        <f t="shared" si="73"/>
        <v>79.83</v>
      </c>
      <c r="Q811" s="10" t="s">
        <v>8323</v>
      </c>
      <c r="R811" s="10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30</v>
      </c>
      <c r="V811">
        <f t="shared" si="77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 s="8">
        <f t="shared" si="73"/>
        <v>58.33</v>
      </c>
      <c r="Q812" s="10" t="s">
        <v>8323</v>
      </c>
      <c r="R812" s="10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30</v>
      </c>
      <c r="V812">
        <f t="shared" si="77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 s="8">
        <f t="shared" si="73"/>
        <v>86.67</v>
      </c>
      <c r="Q813" s="10" t="s">
        <v>8323</v>
      </c>
      <c r="R813" s="10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22</v>
      </c>
      <c r="V813">
        <f t="shared" si="77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 s="8">
        <f t="shared" si="73"/>
        <v>27.61</v>
      </c>
      <c r="Q814" s="10" t="s">
        <v>8323</v>
      </c>
      <c r="R814" s="10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53</v>
      </c>
      <c r="V814">
        <f t="shared" si="77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 s="8">
        <f t="shared" si="73"/>
        <v>25</v>
      </c>
      <c r="Q815" s="10" t="s">
        <v>8323</v>
      </c>
      <c r="R815" s="10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30</v>
      </c>
      <c r="V815">
        <f t="shared" si="77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 s="8">
        <f t="shared" si="73"/>
        <v>45.46</v>
      </c>
      <c r="Q816" s="10" t="s">
        <v>8323</v>
      </c>
      <c r="R816" s="10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15</v>
      </c>
      <c r="V816">
        <f t="shared" si="77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 s="8">
        <f t="shared" si="73"/>
        <v>99.53</v>
      </c>
      <c r="Q817" s="10" t="s">
        <v>8323</v>
      </c>
      <c r="R817" s="10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30</v>
      </c>
      <c r="V817">
        <f t="shared" si="77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 s="8">
        <f t="shared" si="73"/>
        <v>39.31</v>
      </c>
      <c r="Q818" s="10" t="s">
        <v>8323</v>
      </c>
      <c r="R818" s="10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31</v>
      </c>
      <c r="V818">
        <f t="shared" si="77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 s="8">
        <f t="shared" si="73"/>
        <v>89.42</v>
      </c>
      <c r="Q819" s="10" t="s">
        <v>8323</v>
      </c>
      <c r="R819" s="10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54</v>
      </c>
      <c r="V819">
        <f t="shared" si="77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 s="8">
        <f t="shared" si="73"/>
        <v>28.68</v>
      </c>
      <c r="Q820" s="10" t="s">
        <v>8323</v>
      </c>
      <c r="R820" s="1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8</v>
      </c>
      <c r="V820">
        <f t="shared" si="77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 s="8">
        <f t="shared" si="73"/>
        <v>31.07</v>
      </c>
      <c r="Q821" s="10" t="s">
        <v>8323</v>
      </c>
      <c r="R821" s="10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9</v>
      </c>
      <c r="V821">
        <f t="shared" si="77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 s="8">
        <f t="shared" si="73"/>
        <v>70.55</v>
      </c>
      <c r="Q822" s="10" t="s">
        <v>8323</v>
      </c>
      <c r="R822" s="10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30</v>
      </c>
      <c r="V822">
        <f t="shared" si="77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 s="8">
        <f t="shared" si="73"/>
        <v>224.13</v>
      </c>
      <c r="Q823" s="10" t="s">
        <v>8323</v>
      </c>
      <c r="R823" s="10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34</v>
      </c>
      <c r="V823">
        <f t="shared" si="77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 s="8">
        <f t="shared" si="73"/>
        <v>51.81</v>
      </c>
      <c r="Q824" s="10" t="s">
        <v>8323</v>
      </c>
      <c r="R824" s="10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30</v>
      </c>
      <c r="V824">
        <f t="shared" si="77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 s="8">
        <f t="shared" si="73"/>
        <v>43.52</v>
      </c>
      <c r="Q825" s="10" t="s">
        <v>8323</v>
      </c>
      <c r="R825" s="10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30</v>
      </c>
      <c r="V825">
        <f t="shared" si="77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 s="8">
        <f t="shared" si="73"/>
        <v>39.82</v>
      </c>
      <c r="Q826" s="10" t="s">
        <v>8323</v>
      </c>
      <c r="R826" s="10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36</v>
      </c>
      <c r="V826">
        <f t="shared" si="77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 s="8">
        <f t="shared" si="73"/>
        <v>126.81</v>
      </c>
      <c r="Q827" s="10" t="s">
        <v>8323</v>
      </c>
      <c r="R827" s="10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25</v>
      </c>
      <c r="V827">
        <f t="shared" si="77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 s="8">
        <f t="shared" si="73"/>
        <v>113.88</v>
      </c>
      <c r="Q828" s="10" t="s">
        <v>8323</v>
      </c>
      <c r="R828" s="10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21</v>
      </c>
      <c r="V828">
        <f t="shared" si="77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 s="8">
        <f t="shared" si="73"/>
        <v>28.18</v>
      </c>
      <c r="Q829" s="10" t="s">
        <v>8323</v>
      </c>
      <c r="R829" s="10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26</v>
      </c>
      <c r="V829">
        <f t="shared" si="77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 s="8">
        <f t="shared" si="73"/>
        <v>36.61</v>
      </c>
      <c r="Q830" s="10" t="s">
        <v>8323</v>
      </c>
      <c r="R830" s="1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13</v>
      </c>
      <c r="V830">
        <f t="shared" si="77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 s="8">
        <f t="shared" si="73"/>
        <v>32.5</v>
      </c>
      <c r="Q831" s="10" t="s">
        <v>8323</v>
      </c>
      <c r="R831" s="10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60</v>
      </c>
      <c r="V831">
        <f t="shared" si="77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 s="8">
        <f t="shared" si="73"/>
        <v>60.66</v>
      </c>
      <c r="Q832" s="10" t="s">
        <v>8323</v>
      </c>
      <c r="R832" s="10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30</v>
      </c>
      <c r="V832">
        <f t="shared" si="77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 s="8">
        <f t="shared" si="73"/>
        <v>175</v>
      </c>
      <c r="Q833" s="10" t="s">
        <v>8323</v>
      </c>
      <c r="R833" s="10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30</v>
      </c>
      <c r="V833">
        <f t="shared" si="77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ROUND((E834/D834)*100, 0)</f>
        <v>101</v>
      </c>
      <c r="P834" s="8">
        <f t="shared" ref="P834:P897" si="79">IFERROR(ROUND(E834/L834, 2), 0)</f>
        <v>97.99</v>
      </c>
      <c r="Q834" s="10" t="s">
        <v>8323</v>
      </c>
      <c r="R834" s="10" t="s">
        <v>8324</v>
      </c>
      <c r="S834" s="16">
        <f t="shared" ref="S834:S897" si="80">(J834/60/60/24)+DATE(1970, 1, 1)</f>
        <v>40869.675173611111</v>
      </c>
      <c r="T834" s="16">
        <f t="shared" ref="T834:T897" si="81">(I834/60/60/24)+DATE(1970, 1, 1)</f>
        <v>40929.342361111114</v>
      </c>
      <c r="U834">
        <f t="shared" si="76"/>
        <v>60</v>
      </c>
      <c r="V834">
        <f t="shared" si="77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 s="8">
        <f t="shared" si="79"/>
        <v>148.78</v>
      </c>
      <c r="Q835" s="10" t="s">
        <v>8323</v>
      </c>
      <c r="R835" s="10" t="s">
        <v>8324</v>
      </c>
      <c r="S835" s="16">
        <f t="shared" si="80"/>
        <v>41718.878182870372</v>
      </c>
      <c r="T835" s="16">
        <f t="shared" si="81"/>
        <v>41748.878182870372</v>
      </c>
      <c r="U835">
        <f t="shared" ref="U835:U898" si="82">ROUND(T835-S835, 0)</f>
        <v>30</v>
      </c>
      <c r="V835">
        <f t="shared" ref="V835:V898" si="83">YEAR($S835)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 s="8">
        <f t="shared" si="79"/>
        <v>96.08</v>
      </c>
      <c r="Q836" s="10" t="s">
        <v>8323</v>
      </c>
      <c r="R836" s="10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33</v>
      </c>
      <c r="V836">
        <f t="shared" si="83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 s="8">
        <f t="shared" si="79"/>
        <v>58.63</v>
      </c>
      <c r="Q837" s="10" t="s">
        <v>8323</v>
      </c>
      <c r="R837" s="10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43</v>
      </c>
      <c r="V837">
        <f t="shared" si="83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 s="8">
        <f t="shared" si="79"/>
        <v>109.71</v>
      </c>
      <c r="Q838" s="10" t="s">
        <v>8323</v>
      </c>
      <c r="R838" s="10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30</v>
      </c>
      <c r="V838">
        <f t="shared" si="83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 s="8">
        <f t="shared" si="79"/>
        <v>49.11</v>
      </c>
      <c r="Q839" s="10" t="s">
        <v>8323</v>
      </c>
      <c r="R839" s="10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30</v>
      </c>
      <c r="V839">
        <f t="shared" si="83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 s="8">
        <f t="shared" si="79"/>
        <v>47.67</v>
      </c>
      <c r="Q840" s="10" t="s">
        <v>8323</v>
      </c>
      <c r="R840" s="1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30</v>
      </c>
      <c r="V840">
        <f t="shared" si="83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 s="8">
        <f t="shared" si="79"/>
        <v>60.74</v>
      </c>
      <c r="Q841" s="10" t="s">
        <v>8323</v>
      </c>
      <c r="R841" s="10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30</v>
      </c>
      <c r="V841">
        <f t="shared" si="83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 s="8">
        <f t="shared" si="79"/>
        <v>63.38</v>
      </c>
      <c r="Q842" s="10" t="s">
        <v>8323</v>
      </c>
      <c r="R842" s="10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30</v>
      </c>
      <c r="V842">
        <f t="shared" si="83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 s="8">
        <f t="shared" si="79"/>
        <v>53.89</v>
      </c>
      <c r="Q843" s="10" t="s">
        <v>8323</v>
      </c>
      <c r="R843" s="10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30</v>
      </c>
      <c r="V843">
        <f t="shared" si="83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 s="8">
        <f t="shared" si="79"/>
        <v>66.87</v>
      </c>
      <c r="Q844" s="10" t="s">
        <v>8323</v>
      </c>
      <c r="R844" s="10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35</v>
      </c>
      <c r="V844">
        <f t="shared" si="83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 s="8">
        <f t="shared" si="79"/>
        <v>63.1</v>
      </c>
      <c r="Q845" s="10" t="s">
        <v>8323</v>
      </c>
      <c r="R845" s="10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17</v>
      </c>
      <c r="V845">
        <f t="shared" si="83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 s="8">
        <f t="shared" si="79"/>
        <v>36.630000000000003</v>
      </c>
      <c r="Q846" s="10" t="s">
        <v>8323</v>
      </c>
      <c r="R846" s="10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39</v>
      </c>
      <c r="V846">
        <f t="shared" si="83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 s="8">
        <f t="shared" si="79"/>
        <v>34.01</v>
      </c>
      <c r="Q847" s="10" t="s">
        <v>8323</v>
      </c>
      <c r="R847" s="10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40</v>
      </c>
      <c r="V847">
        <f t="shared" si="83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 s="8">
        <f t="shared" si="79"/>
        <v>28.55</v>
      </c>
      <c r="Q848" s="10" t="s">
        <v>8323</v>
      </c>
      <c r="R848" s="10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14</v>
      </c>
      <c r="V848">
        <f t="shared" si="83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 s="8">
        <f t="shared" si="79"/>
        <v>10</v>
      </c>
      <c r="Q849" s="10" t="s">
        <v>8323</v>
      </c>
      <c r="R849" s="10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30</v>
      </c>
      <c r="V849">
        <f t="shared" si="83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 s="8">
        <f t="shared" si="79"/>
        <v>18.75</v>
      </c>
      <c r="Q850" s="10" t="s">
        <v>8323</v>
      </c>
      <c r="R850" s="1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30</v>
      </c>
      <c r="V850">
        <f t="shared" si="83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 s="8">
        <f t="shared" si="79"/>
        <v>41.7</v>
      </c>
      <c r="Q851" s="10" t="s">
        <v>8323</v>
      </c>
      <c r="R851" s="10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28</v>
      </c>
      <c r="V851">
        <f t="shared" si="83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 s="8">
        <f t="shared" si="79"/>
        <v>46.67</v>
      </c>
      <c r="Q852" s="10" t="s">
        <v>8323</v>
      </c>
      <c r="R852" s="10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32</v>
      </c>
      <c r="V852">
        <f t="shared" si="83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 s="8">
        <f t="shared" si="79"/>
        <v>37.270000000000003</v>
      </c>
      <c r="Q853" s="10" t="s">
        <v>8323</v>
      </c>
      <c r="R853" s="10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60</v>
      </c>
      <c r="V853">
        <f t="shared" si="83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 s="8">
        <f t="shared" si="79"/>
        <v>59.26</v>
      </c>
      <c r="Q854" s="10" t="s">
        <v>8323</v>
      </c>
      <c r="R854" s="10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11</v>
      </c>
      <c r="V854">
        <f t="shared" si="83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 s="8">
        <f t="shared" si="79"/>
        <v>30</v>
      </c>
      <c r="Q855" s="10" t="s">
        <v>8323</v>
      </c>
      <c r="R855" s="10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30</v>
      </c>
      <c r="V855">
        <f t="shared" si="83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 s="8">
        <f t="shared" si="79"/>
        <v>65.86</v>
      </c>
      <c r="Q856" s="10" t="s">
        <v>8323</v>
      </c>
      <c r="R856" s="10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30</v>
      </c>
      <c r="V856">
        <f t="shared" si="83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 s="8">
        <f t="shared" si="79"/>
        <v>31.91</v>
      </c>
      <c r="Q857" s="10" t="s">
        <v>8323</v>
      </c>
      <c r="R857" s="10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30</v>
      </c>
      <c r="V857">
        <f t="shared" si="83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 s="8">
        <f t="shared" si="79"/>
        <v>19.46</v>
      </c>
      <c r="Q858" s="10" t="s">
        <v>8323</v>
      </c>
      <c r="R858" s="10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59</v>
      </c>
      <c r="V858">
        <f t="shared" si="83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 s="8">
        <f t="shared" si="79"/>
        <v>50</v>
      </c>
      <c r="Q859" s="10" t="s">
        <v>8323</v>
      </c>
      <c r="R859" s="10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42</v>
      </c>
      <c r="V859">
        <f t="shared" si="83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 s="8">
        <f t="shared" si="79"/>
        <v>22.74</v>
      </c>
      <c r="Q860" s="10" t="s">
        <v>8323</v>
      </c>
      <c r="R860" s="1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30</v>
      </c>
      <c r="V860">
        <f t="shared" si="83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 s="8">
        <f t="shared" si="79"/>
        <v>42.72</v>
      </c>
      <c r="Q861" s="10" t="s">
        <v>8323</v>
      </c>
      <c r="R861" s="10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30</v>
      </c>
      <c r="V861">
        <f t="shared" si="83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 s="8">
        <f t="shared" si="79"/>
        <v>52.92</v>
      </c>
      <c r="Q862" s="10" t="s">
        <v>8323</v>
      </c>
      <c r="R862" s="10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30</v>
      </c>
      <c r="V862">
        <f t="shared" si="83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 s="8">
        <f t="shared" si="79"/>
        <v>50.5</v>
      </c>
      <c r="Q863" s="10" t="s">
        <v>8323</v>
      </c>
      <c r="R863" s="10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30</v>
      </c>
      <c r="V863">
        <f t="shared" si="83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 s="8">
        <f t="shared" si="79"/>
        <v>42.5</v>
      </c>
      <c r="Q864" s="10" t="s">
        <v>8323</v>
      </c>
      <c r="R864" s="10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30</v>
      </c>
      <c r="V864">
        <f t="shared" si="83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 s="8">
        <f t="shared" si="79"/>
        <v>18</v>
      </c>
      <c r="Q865" s="10" t="s">
        <v>8323</v>
      </c>
      <c r="R865" s="10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30</v>
      </c>
      <c r="V865">
        <f t="shared" si="83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 s="8">
        <f t="shared" si="79"/>
        <v>34.18</v>
      </c>
      <c r="Q866" s="10" t="s">
        <v>8323</v>
      </c>
      <c r="R866" s="10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22</v>
      </c>
      <c r="V866">
        <f t="shared" si="83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 s="8">
        <f t="shared" si="79"/>
        <v>22.5</v>
      </c>
      <c r="Q867" s="10" t="s">
        <v>8323</v>
      </c>
      <c r="R867" s="10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60</v>
      </c>
      <c r="V867">
        <f t="shared" si="83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 s="8">
        <f t="shared" si="79"/>
        <v>58.18</v>
      </c>
      <c r="Q868" s="10" t="s">
        <v>8323</v>
      </c>
      <c r="R868" s="10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38</v>
      </c>
      <c r="V868">
        <f t="shared" si="83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 s="8">
        <f t="shared" si="79"/>
        <v>109.18</v>
      </c>
      <c r="Q869" s="10" t="s">
        <v>8323</v>
      </c>
      <c r="R869" s="10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60</v>
      </c>
      <c r="V869">
        <f t="shared" si="83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 s="8">
        <f t="shared" si="79"/>
        <v>50</v>
      </c>
      <c r="Q870" s="10" t="s">
        <v>8323</v>
      </c>
      <c r="R870" s="1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30</v>
      </c>
      <c r="V870">
        <f t="shared" si="83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 s="8">
        <f t="shared" si="79"/>
        <v>346.67</v>
      </c>
      <c r="Q871" s="10" t="s">
        <v>8323</v>
      </c>
      <c r="R871" s="10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30</v>
      </c>
      <c r="V871">
        <f t="shared" si="83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 s="8">
        <f t="shared" si="79"/>
        <v>12.4</v>
      </c>
      <c r="Q872" s="10" t="s">
        <v>8323</v>
      </c>
      <c r="R872" s="10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30</v>
      </c>
      <c r="V872">
        <f t="shared" si="83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 s="8">
        <f t="shared" si="79"/>
        <v>27.08</v>
      </c>
      <c r="Q873" s="10" t="s">
        <v>8323</v>
      </c>
      <c r="R873" s="10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30</v>
      </c>
      <c r="V873">
        <f t="shared" si="83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 s="8">
        <f t="shared" si="79"/>
        <v>32.5</v>
      </c>
      <c r="Q874" s="10" t="s">
        <v>8323</v>
      </c>
      <c r="R874" s="10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45</v>
      </c>
      <c r="V874">
        <f t="shared" si="83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 s="8">
        <f t="shared" si="79"/>
        <v>9</v>
      </c>
      <c r="Q875" s="10" t="s">
        <v>8323</v>
      </c>
      <c r="R875" s="10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40</v>
      </c>
      <c r="V875">
        <f t="shared" si="83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 s="8">
        <f t="shared" si="79"/>
        <v>34.76</v>
      </c>
      <c r="Q876" s="10" t="s">
        <v>8323</v>
      </c>
      <c r="R876" s="10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30</v>
      </c>
      <c r="V876">
        <f t="shared" si="83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 s="8">
        <f t="shared" si="79"/>
        <v>0</v>
      </c>
      <c r="Q877" s="10" t="s">
        <v>8323</v>
      </c>
      <c r="R877" s="10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</v>
      </c>
      <c r="V877">
        <f t="shared" si="83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 s="8">
        <f t="shared" si="79"/>
        <v>28.58</v>
      </c>
      <c r="Q878" s="10" t="s">
        <v>8323</v>
      </c>
      <c r="R878" s="10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33</v>
      </c>
      <c r="V878">
        <f t="shared" si="83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 s="8">
        <f t="shared" si="79"/>
        <v>46.59</v>
      </c>
      <c r="Q879" s="10" t="s">
        <v>8323</v>
      </c>
      <c r="R879" s="10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30</v>
      </c>
      <c r="V879">
        <f t="shared" si="83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 s="8">
        <f t="shared" si="79"/>
        <v>32.5</v>
      </c>
      <c r="Q880" s="10" t="s">
        <v>8323</v>
      </c>
      <c r="R880" s="1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30</v>
      </c>
      <c r="V880">
        <f t="shared" si="83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 s="8">
        <f t="shared" si="79"/>
        <v>21.47</v>
      </c>
      <c r="Q881" s="10" t="s">
        <v>8323</v>
      </c>
      <c r="R881" s="10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21</v>
      </c>
      <c r="V881">
        <f t="shared" si="83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 s="8">
        <f t="shared" si="79"/>
        <v>14.13</v>
      </c>
      <c r="Q882" s="10" t="s">
        <v>8323</v>
      </c>
      <c r="R882" s="10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33</v>
      </c>
      <c r="V882">
        <f t="shared" si="83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 s="8">
        <f t="shared" si="79"/>
        <v>30</v>
      </c>
      <c r="Q883" s="10" t="s">
        <v>8323</v>
      </c>
      <c r="R883" s="10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45</v>
      </c>
      <c r="V883">
        <f t="shared" si="83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 s="8">
        <f t="shared" si="79"/>
        <v>21.57</v>
      </c>
      <c r="Q884" s="10" t="s">
        <v>8323</v>
      </c>
      <c r="R884" s="10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33</v>
      </c>
      <c r="V884">
        <f t="shared" si="83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 s="8">
        <f t="shared" si="79"/>
        <v>83.38</v>
      </c>
      <c r="Q885" s="10" t="s">
        <v>8323</v>
      </c>
      <c r="R885" s="10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60</v>
      </c>
      <c r="V885">
        <f t="shared" si="83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 s="8">
        <f t="shared" si="79"/>
        <v>10</v>
      </c>
      <c r="Q886" s="10" t="s">
        <v>8323</v>
      </c>
      <c r="R886" s="10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59</v>
      </c>
      <c r="V886">
        <f t="shared" si="83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 s="8">
        <f t="shared" si="79"/>
        <v>35.71</v>
      </c>
      <c r="Q887" s="10" t="s">
        <v>8323</v>
      </c>
      <c r="R887" s="10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21</v>
      </c>
      <c r="V887">
        <f t="shared" si="83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 s="8">
        <f t="shared" si="79"/>
        <v>29.29</v>
      </c>
      <c r="Q888" s="10" t="s">
        <v>8323</v>
      </c>
      <c r="R888" s="10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25</v>
      </c>
      <c r="V888">
        <f t="shared" si="83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 s="8">
        <f t="shared" si="79"/>
        <v>0</v>
      </c>
      <c r="Q889" s="10" t="s">
        <v>8323</v>
      </c>
      <c r="R889" s="10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30</v>
      </c>
      <c r="V889">
        <f t="shared" si="83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 s="8">
        <f t="shared" si="79"/>
        <v>18</v>
      </c>
      <c r="Q890" s="10" t="s">
        <v>8323</v>
      </c>
      <c r="R890" s="1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35</v>
      </c>
      <c r="V890">
        <f t="shared" si="83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 s="8">
        <f t="shared" si="79"/>
        <v>73.760000000000005</v>
      </c>
      <c r="Q891" s="10" t="s">
        <v>8323</v>
      </c>
      <c r="R891" s="10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30</v>
      </c>
      <c r="V891">
        <f t="shared" si="83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 s="8">
        <f t="shared" si="79"/>
        <v>31.25</v>
      </c>
      <c r="Q892" s="10" t="s">
        <v>8323</v>
      </c>
      <c r="R892" s="10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30</v>
      </c>
      <c r="V892">
        <f t="shared" si="83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 s="8">
        <f t="shared" si="79"/>
        <v>28.89</v>
      </c>
      <c r="Q893" s="10" t="s">
        <v>8323</v>
      </c>
      <c r="R893" s="10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30</v>
      </c>
      <c r="V893">
        <f t="shared" si="83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 s="8">
        <f t="shared" si="79"/>
        <v>143.82</v>
      </c>
      <c r="Q894" s="10" t="s">
        <v>8323</v>
      </c>
      <c r="R894" s="10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87</v>
      </c>
      <c r="V894">
        <f t="shared" si="83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 s="8">
        <f t="shared" si="79"/>
        <v>40</v>
      </c>
      <c r="Q895" s="10" t="s">
        <v>8323</v>
      </c>
      <c r="R895" s="10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30</v>
      </c>
      <c r="V895">
        <f t="shared" si="83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 s="8">
        <f t="shared" si="79"/>
        <v>147.81</v>
      </c>
      <c r="Q896" s="10" t="s">
        <v>8323</v>
      </c>
      <c r="R896" s="10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30</v>
      </c>
      <c r="V896">
        <f t="shared" si="83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 s="8">
        <f t="shared" si="79"/>
        <v>27.86</v>
      </c>
      <c r="Q897" s="10" t="s">
        <v>8323</v>
      </c>
      <c r="R897" s="10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45</v>
      </c>
      <c r="V897">
        <f t="shared" si="83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ROUND((E898/D898)*100, 0)</f>
        <v>40</v>
      </c>
      <c r="P898" s="8">
        <f t="shared" ref="P898:P961" si="85">IFERROR(ROUND(E898/L898, 2), 0)</f>
        <v>44.44</v>
      </c>
      <c r="Q898" s="10" t="s">
        <v>8323</v>
      </c>
      <c r="R898" s="10" t="s">
        <v>8327</v>
      </c>
      <c r="S898" s="16">
        <f t="shared" ref="S898:S961" si="86">(J898/60/60/24)+DATE(1970, 1, 1)</f>
        <v>42218.872986111113</v>
      </c>
      <c r="T898" s="16">
        <f t="shared" ref="T898:T961" si="87">(I898/60/60/24)+DATE(1970, 1, 1)</f>
        <v>42244.166666666672</v>
      </c>
      <c r="U898">
        <f t="shared" si="82"/>
        <v>25</v>
      </c>
      <c r="V898">
        <f t="shared" si="83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 s="8">
        <f t="shared" si="85"/>
        <v>0</v>
      </c>
      <c r="Q899" s="10" t="s">
        <v>8323</v>
      </c>
      <c r="R899" s="10" t="s">
        <v>8327</v>
      </c>
      <c r="S899" s="16">
        <f t="shared" si="86"/>
        <v>41211.688750000001</v>
      </c>
      <c r="T899" s="16">
        <f t="shared" si="87"/>
        <v>41241.730416666665</v>
      </c>
      <c r="U899">
        <f t="shared" ref="U899:U962" si="88">ROUND(T899-S899, 0)</f>
        <v>30</v>
      </c>
      <c r="V899">
        <f t="shared" ref="V899:V962" si="89">YEAR($S899)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 s="8">
        <f t="shared" si="85"/>
        <v>35</v>
      </c>
      <c r="Q900" s="10" t="s">
        <v>8323</v>
      </c>
      <c r="R900" s="1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45</v>
      </c>
      <c r="V900">
        <f t="shared" si="89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 s="8">
        <f t="shared" si="85"/>
        <v>35</v>
      </c>
      <c r="Q901" s="10" t="s">
        <v>8323</v>
      </c>
      <c r="R901" s="10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45</v>
      </c>
      <c r="V901">
        <f t="shared" si="8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 s="8">
        <f t="shared" si="85"/>
        <v>10.5</v>
      </c>
      <c r="Q902" s="10" t="s">
        <v>8323</v>
      </c>
      <c r="R902" s="10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30</v>
      </c>
      <c r="V902">
        <f t="shared" si="89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 s="8">
        <f t="shared" si="85"/>
        <v>0</v>
      </c>
      <c r="Q903" s="10" t="s">
        <v>8323</v>
      </c>
      <c r="R903" s="10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46</v>
      </c>
      <c r="V903">
        <f t="shared" si="89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 s="8">
        <f t="shared" si="85"/>
        <v>30</v>
      </c>
      <c r="Q904" s="10" t="s">
        <v>8323</v>
      </c>
      <c r="R904" s="10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52</v>
      </c>
      <c r="V904">
        <f t="shared" si="8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 s="8">
        <f t="shared" si="85"/>
        <v>40</v>
      </c>
      <c r="Q905" s="10" t="s">
        <v>8323</v>
      </c>
      <c r="R905" s="10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25</v>
      </c>
      <c r="V905">
        <f t="shared" si="8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 s="8">
        <f t="shared" si="85"/>
        <v>50.33</v>
      </c>
      <c r="Q906" s="10" t="s">
        <v>8323</v>
      </c>
      <c r="R906" s="10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30</v>
      </c>
      <c r="V906">
        <f t="shared" si="89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 s="8">
        <f t="shared" si="85"/>
        <v>32.67</v>
      </c>
      <c r="Q907" s="10" t="s">
        <v>8323</v>
      </c>
      <c r="R907" s="10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60</v>
      </c>
      <c r="V907">
        <f t="shared" si="89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s="8">
        <f t="shared" si="85"/>
        <v>0</v>
      </c>
      <c r="Q908" s="10" t="s">
        <v>8323</v>
      </c>
      <c r="R908" s="10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30</v>
      </c>
      <c r="V908">
        <f t="shared" si="8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s="8">
        <f t="shared" si="85"/>
        <v>0</v>
      </c>
      <c r="Q909" s="10" t="s">
        <v>8323</v>
      </c>
      <c r="R909" s="10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30</v>
      </c>
      <c r="V909">
        <f t="shared" si="89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s="8">
        <f t="shared" si="85"/>
        <v>0</v>
      </c>
      <c r="Q910" s="10" t="s">
        <v>8323</v>
      </c>
      <c r="R910" s="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45</v>
      </c>
      <c r="V910">
        <f t="shared" si="89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 s="8">
        <f t="shared" si="85"/>
        <v>65</v>
      </c>
      <c r="Q911" s="10" t="s">
        <v>8323</v>
      </c>
      <c r="R911" s="10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31</v>
      </c>
      <c r="V911">
        <f t="shared" si="8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 s="8">
        <f t="shared" si="85"/>
        <v>24.6</v>
      </c>
      <c r="Q912" s="10" t="s">
        <v>8323</v>
      </c>
      <c r="R912" s="10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60</v>
      </c>
      <c r="V912">
        <f t="shared" si="8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s="8">
        <f t="shared" si="85"/>
        <v>0</v>
      </c>
      <c r="Q913" s="10" t="s">
        <v>8323</v>
      </c>
      <c r="R913" s="10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21</v>
      </c>
      <c r="V913">
        <f t="shared" si="89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 s="8">
        <f t="shared" si="85"/>
        <v>15</v>
      </c>
      <c r="Q914" s="10" t="s">
        <v>8323</v>
      </c>
      <c r="R914" s="10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60</v>
      </c>
      <c r="V914">
        <f t="shared" si="8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 s="8">
        <f t="shared" si="85"/>
        <v>82.58</v>
      </c>
      <c r="Q915" s="10" t="s">
        <v>8323</v>
      </c>
      <c r="R915" s="10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30</v>
      </c>
      <c r="V915">
        <f t="shared" si="89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s="8">
        <f t="shared" si="85"/>
        <v>0</v>
      </c>
      <c r="Q916" s="10" t="s">
        <v>8323</v>
      </c>
      <c r="R916" s="10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30</v>
      </c>
      <c r="V916">
        <f t="shared" si="89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 s="8">
        <f t="shared" si="85"/>
        <v>41.67</v>
      </c>
      <c r="Q917" s="10" t="s">
        <v>8323</v>
      </c>
      <c r="R917" s="10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32</v>
      </c>
      <c r="V917">
        <f t="shared" si="89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s="8">
        <f t="shared" si="85"/>
        <v>0</v>
      </c>
      <c r="Q918" s="10" t="s">
        <v>8323</v>
      </c>
      <c r="R918" s="10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38</v>
      </c>
      <c r="V918">
        <f t="shared" si="8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 s="8">
        <f t="shared" si="85"/>
        <v>30</v>
      </c>
      <c r="Q919" s="10" t="s">
        <v>8323</v>
      </c>
      <c r="R919" s="10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31</v>
      </c>
      <c r="V919">
        <f t="shared" si="89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 s="8">
        <f t="shared" si="85"/>
        <v>19.600000000000001</v>
      </c>
      <c r="Q920" s="10" t="s">
        <v>8323</v>
      </c>
      <c r="R920" s="1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30</v>
      </c>
      <c r="V920">
        <f t="shared" si="8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 s="8">
        <f t="shared" si="85"/>
        <v>100</v>
      </c>
      <c r="Q921" s="10" t="s">
        <v>8323</v>
      </c>
      <c r="R921" s="10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35</v>
      </c>
      <c r="V921">
        <f t="shared" si="8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s="8">
        <f t="shared" si="85"/>
        <v>0</v>
      </c>
      <c r="Q922" s="10" t="s">
        <v>8323</v>
      </c>
      <c r="R922" s="10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30</v>
      </c>
      <c r="V922">
        <f t="shared" si="8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 s="8">
        <f t="shared" si="85"/>
        <v>231.75</v>
      </c>
      <c r="Q923" s="10" t="s">
        <v>8323</v>
      </c>
      <c r="R923" s="10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42</v>
      </c>
      <c r="V923">
        <f t="shared" si="8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 s="8">
        <f t="shared" si="85"/>
        <v>189.33</v>
      </c>
      <c r="Q924" s="10" t="s">
        <v>8323</v>
      </c>
      <c r="R924" s="10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35</v>
      </c>
      <c r="V924">
        <f t="shared" si="8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 s="8">
        <f t="shared" si="85"/>
        <v>55</v>
      </c>
      <c r="Q925" s="10" t="s">
        <v>8323</v>
      </c>
      <c r="R925" s="10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30</v>
      </c>
      <c r="V925">
        <f t="shared" si="8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 s="8">
        <f t="shared" si="85"/>
        <v>21.8</v>
      </c>
      <c r="Q926" s="10" t="s">
        <v>8323</v>
      </c>
      <c r="R926" s="10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30</v>
      </c>
      <c r="V926">
        <f t="shared" si="8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 s="8">
        <f t="shared" si="85"/>
        <v>32</v>
      </c>
      <c r="Q927" s="10" t="s">
        <v>8323</v>
      </c>
      <c r="R927" s="10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30</v>
      </c>
      <c r="V927">
        <f t="shared" si="89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s="8">
        <f t="shared" si="85"/>
        <v>0</v>
      </c>
      <c r="Q928" s="10" t="s">
        <v>8323</v>
      </c>
      <c r="R928" s="10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30</v>
      </c>
      <c r="V928">
        <f t="shared" si="8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s="8">
        <f t="shared" si="85"/>
        <v>0</v>
      </c>
      <c r="Q929" s="10" t="s">
        <v>8323</v>
      </c>
      <c r="R929" s="10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30</v>
      </c>
      <c r="V929">
        <f t="shared" si="89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 s="8">
        <f t="shared" si="85"/>
        <v>56.25</v>
      </c>
      <c r="Q930" s="10" t="s">
        <v>8323</v>
      </c>
      <c r="R930" s="1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50</v>
      </c>
      <c r="V930">
        <f t="shared" si="8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s="8">
        <f t="shared" si="85"/>
        <v>0</v>
      </c>
      <c r="Q931" s="10" t="s">
        <v>8323</v>
      </c>
      <c r="R931" s="10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30</v>
      </c>
      <c r="V931">
        <f t="shared" si="89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 s="8">
        <f t="shared" si="85"/>
        <v>69</v>
      </c>
      <c r="Q932" s="10" t="s">
        <v>8323</v>
      </c>
      <c r="R932" s="10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42</v>
      </c>
      <c r="V932">
        <f t="shared" si="8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 s="8">
        <f t="shared" si="85"/>
        <v>18.71</v>
      </c>
      <c r="Q933" s="10" t="s">
        <v>8323</v>
      </c>
      <c r="R933" s="10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35</v>
      </c>
      <c r="V933">
        <f t="shared" si="8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 s="8">
        <f t="shared" si="85"/>
        <v>46.03</v>
      </c>
      <c r="Q934" s="10" t="s">
        <v>8323</v>
      </c>
      <c r="R934" s="10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45</v>
      </c>
      <c r="V934">
        <f t="shared" si="8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 s="8">
        <f t="shared" si="85"/>
        <v>60</v>
      </c>
      <c r="Q935" s="10" t="s">
        <v>8323</v>
      </c>
      <c r="R935" s="10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60</v>
      </c>
      <c r="V935">
        <f t="shared" si="8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 s="8">
        <f t="shared" si="85"/>
        <v>50.67</v>
      </c>
      <c r="Q936" s="10" t="s">
        <v>8323</v>
      </c>
      <c r="R936" s="10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30</v>
      </c>
      <c r="V936">
        <f t="shared" si="8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 s="8">
        <f t="shared" si="85"/>
        <v>25</v>
      </c>
      <c r="Q937" s="10" t="s">
        <v>8323</v>
      </c>
      <c r="R937" s="10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30</v>
      </c>
      <c r="V937">
        <f t="shared" si="89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s="8">
        <f t="shared" si="85"/>
        <v>0</v>
      </c>
      <c r="Q938" s="10" t="s">
        <v>8323</v>
      </c>
      <c r="R938" s="10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44</v>
      </c>
      <c r="V938">
        <f t="shared" si="89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 s="8">
        <f t="shared" si="85"/>
        <v>20</v>
      </c>
      <c r="Q939" s="10" t="s">
        <v>8323</v>
      </c>
      <c r="R939" s="10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30</v>
      </c>
      <c r="V939">
        <f t="shared" si="8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 s="8">
        <f t="shared" si="85"/>
        <v>25</v>
      </c>
      <c r="Q940" s="10" t="s">
        <v>8323</v>
      </c>
      <c r="R940" s="1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30</v>
      </c>
      <c r="V940">
        <f t="shared" si="8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 s="8">
        <f t="shared" si="85"/>
        <v>20</v>
      </c>
      <c r="Q941" s="10" t="s">
        <v>8323</v>
      </c>
      <c r="R941" s="10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39</v>
      </c>
      <c r="V941">
        <f t="shared" si="8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 s="8">
        <f t="shared" si="85"/>
        <v>110.29</v>
      </c>
      <c r="Q942" s="10" t="s">
        <v>8317</v>
      </c>
      <c r="R942" s="10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45</v>
      </c>
      <c r="V942">
        <f t="shared" si="89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 s="8">
        <f t="shared" si="85"/>
        <v>37.450000000000003</v>
      </c>
      <c r="Q943" s="10" t="s">
        <v>8317</v>
      </c>
      <c r="R943" s="10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30</v>
      </c>
      <c r="V943">
        <f t="shared" si="89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 s="8">
        <f t="shared" si="85"/>
        <v>41.75</v>
      </c>
      <c r="Q944" s="10" t="s">
        <v>8317</v>
      </c>
      <c r="R944" s="10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36</v>
      </c>
      <c r="V944">
        <f t="shared" si="8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 s="8">
        <f t="shared" si="85"/>
        <v>24.08</v>
      </c>
      <c r="Q945" s="10" t="s">
        <v>8317</v>
      </c>
      <c r="R945" s="10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30</v>
      </c>
      <c r="V945">
        <f t="shared" si="8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 s="8">
        <f t="shared" si="85"/>
        <v>69.41</v>
      </c>
      <c r="Q946" s="10" t="s">
        <v>8317</v>
      </c>
      <c r="R946" s="10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34</v>
      </c>
      <c r="V946">
        <f t="shared" si="8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 s="8">
        <f t="shared" si="85"/>
        <v>155.25</v>
      </c>
      <c r="Q947" s="10" t="s">
        <v>8317</v>
      </c>
      <c r="R947" s="10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52</v>
      </c>
      <c r="V947">
        <f t="shared" si="89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 s="8">
        <f t="shared" si="85"/>
        <v>57.2</v>
      </c>
      <c r="Q948" s="10" t="s">
        <v>8317</v>
      </c>
      <c r="R948" s="10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30</v>
      </c>
      <c r="V948">
        <f t="shared" si="8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s="8">
        <f t="shared" si="85"/>
        <v>0</v>
      </c>
      <c r="Q949" s="10" t="s">
        <v>8317</v>
      </c>
      <c r="R949" s="10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60</v>
      </c>
      <c r="V949">
        <f t="shared" si="89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 s="8">
        <f t="shared" si="85"/>
        <v>60</v>
      </c>
      <c r="Q950" s="10" t="s">
        <v>8317</v>
      </c>
      <c r="R950" s="1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30</v>
      </c>
      <c r="V950">
        <f t="shared" si="8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 s="8">
        <f t="shared" si="85"/>
        <v>39</v>
      </c>
      <c r="Q951" s="10" t="s">
        <v>8317</v>
      </c>
      <c r="R951" s="10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60</v>
      </c>
      <c r="V951">
        <f t="shared" si="89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 s="8">
        <f t="shared" si="85"/>
        <v>58.42</v>
      </c>
      <c r="Q952" s="10" t="s">
        <v>8317</v>
      </c>
      <c r="R952" s="10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30</v>
      </c>
      <c r="V952">
        <f t="shared" si="89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 s="8">
        <f t="shared" si="85"/>
        <v>158.63999999999999</v>
      </c>
      <c r="Q953" s="10" t="s">
        <v>8317</v>
      </c>
      <c r="R953" s="10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45</v>
      </c>
      <c r="V953">
        <f t="shared" si="8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 s="8">
        <f t="shared" si="85"/>
        <v>99.86</v>
      </c>
      <c r="Q954" s="10" t="s">
        <v>8317</v>
      </c>
      <c r="R954" s="10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30</v>
      </c>
      <c r="V954">
        <f t="shared" si="8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 s="8">
        <f t="shared" si="85"/>
        <v>25.2</v>
      </c>
      <c r="Q955" s="10" t="s">
        <v>8317</v>
      </c>
      <c r="R955" s="10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30</v>
      </c>
      <c r="V955">
        <f t="shared" si="89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 s="8">
        <f t="shared" si="85"/>
        <v>89.19</v>
      </c>
      <c r="Q956" s="10" t="s">
        <v>8317</v>
      </c>
      <c r="R956" s="10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42</v>
      </c>
      <c r="V956">
        <f t="shared" si="8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 s="8">
        <f t="shared" si="85"/>
        <v>182.62</v>
      </c>
      <c r="Q957" s="10" t="s">
        <v>8317</v>
      </c>
      <c r="R957" s="10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40</v>
      </c>
      <c r="V957">
        <f t="shared" si="89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 s="8">
        <f t="shared" si="85"/>
        <v>50.65</v>
      </c>
      <c r="Q958" s="10" t="s">
        <v>8317</v>
      </c>
      <c r="R958" s="10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60</v>
      </c>
      <c r="V958">
        <f t="shared" si="8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 s="8">
        <f t="shared" si="85"/>
        <v>33.29</v>
      </c>
      <c r="Q959" s="10" t="s">
        <v>8317</v>
      </c>
      <c r="R959" s="10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31</v>
      </c>
      <c r="V959">
        <f t="shared" si="89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 s="8">
        <f t="shared" si="85"/>
        <v>51.82</v>
      </c>
      <c r="Q960" s="10" t="s">
        <v>8317</v>
      </c>
      <c r="R960" s="1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21</v>
      </c>
      <c r="V960">
        <f t="shared" si="8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 s="8">
        <f t="shared" si="85"/>
        <v>113.63</v>
      </c>
      <c r="Q961" s="10" t="s">
        <v>8317</v>
      </c>
      <c r="R961" s="10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30</v>
      </c>
      <c r="V961">
        <f t="shared" si="89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ROUND((E962/D962)*100, 0)</f>
        <v>46</v>
      </c>
      <c r="P962" s="8">
        <f t="shared" ref="P962:P1025" si="91">IFERROR(ROUND(E962/L962, 2), 0)</f>
        <v>136.46</v>
      </c>
      <c r="Q962" s="10" t="s">
        <v>8317</v>
      </c>
      <c r="R962" s="10" t="s">
        <v>8319</v>
      </c>
      <c r="S962" s="16">
        <f t="shared" ref="S962:S1025" si="92">(J962/60/60/24)+DATE(1970, 1, 1)</f>
        <v>42766.626793981486</v>
      </c>
      <c r="T962" s="16">
        <f t="shared" ref="T962:T1025" si="93">(I962/60/60/24)+DATE(1970, 1, 1)</f>
        <v>42808.585127314815</v>
      </c>
      <c r="U962">
        <f t="shared" si="88"/>
        <v>42</v>
      </c>
      <c r="V962">
        <f t="shared" si="89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 s="8">
        <f t="shared" si="91"/>
        <v>364.35</v>
      </c>
      <c r="Q963" s="10" t="s">
        <v>8317</v>
      </c>
      <c r="R963" s="10" t="s">
        <v>8319</v>
      </c>
      <c r="S963" s="16">
        <f t="shared" si="92"/>
        <v>42740.693692129629</v>
      </c>
      <c r="T963" s="16">
        <f t="shared" si="93"/>
        <v>42786.791666666672</v>
      </c>
      <c r="U963">
        <f t="shared" ref="U963:U1026" si="94">ROUND(T963-S963, 0)</f>
        <v>46</v>
      </c>
      <c r="V963">
        <f t="shared" ref="V963:V1026" si="95">YEAR($S963)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 s="8">
        <f t="shared" si="91"/>
        <v>19.239999999999998</v>
      </c>
      <c r="Q964" s="10" t="s">
        <v>8317</v>
      </c>
      <c r="R964" s="10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38</v>
      </c>
      <c r="V964">
        <f t="shared" si="95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 s="8">
        <f t="shared" si="91"/>
        <v>41.89</v>
      </c>
      <c r="Q965" s="10" t="s">
        <v>8317</v>
      </c>
      <c r="R965" s="10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35</v>
      </c>
      <c r="V965">
        <f t="shared" si="95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 s="8">
        <f t="shared" si="91"/>
        <v>30.31</v>
      </c>
      <c r="Q966" s="10" t="s">
        <v>8317</v>
      </c>
      <c r="R966" s="10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40</v>
      </c>
      <c r="V966">
        <f t="shared" si="95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 s="8">
        <f t="shared" si="91"/>
        <v>49.67</v>
      </c>
      <c r="Q967" s="10" t="s">
        <v>8317</v>
      </c>
      <c r="R967" s="10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32</v>
      </c>
      <c r="V967">
        <f t="shared" si="95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 s="8">
        <f t="shared" si="91"/>
        <v>59.2</v>
      </c>
      <c r="Q968" s="10" t="s">
        <v>8317</v>
      </c>
      <c r="R968" s="10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30</v>
      </c>
      <c r="V968">
        <f t="shared" si="95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 s="8">
        <f t="shared" si="91"/>
        <v>43.98</v>
      </c>
      <c r="Q969" s="10" t="s">
        <v>8317</v>
      </c>
      <c r="R969" s="10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60</v>
      </c>
      <c r="V969">
        <f t="shared" si="95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 s="8">
        <f t="shared" si="91"/>
        <v>26.5</v>
      </c>
      <c r="Q970" s="10" t="s">
        <v>8317</v>
      </c>
      <c r="R970" s="1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30</v>
      </c>
      <c r="V970">
        <f t="shared" si="95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 s="8">
        <f t="shared" si="91"/>
        <v>1272.73</v>
      </c>
      <c r="Q971" s="10" t="s">
        <v>8317</v>
      </c>
      <c r="R971" s="10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33</v>
      </c>
      <c r="V971">
        <f t="shared" si="95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 s="8">
        <f t="shared" si="91"/>
        <v>164</v>
      </c>
      <c r="Q972" s="10" t="s">
        <v>8317</v>
      </c>
      <c r="R972" s="10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37</v>
      </c>
      <c r="V972">
        <f t="shared" si="95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 s="8">
        <f t="shared" si="91"/>
        <v>45.2</v>
      </c>
      <c r="Q973" s="10" t="s">
        <v>8317</v>
      </c>
      <c r="R973" s="10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45</v>
      </c>
      <c r="V973">
        <f t="shared" si="95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 s="8">
        <f t="shared" si="91"/>
        <v>153.88999999999999</v>
      </c>
      <c r="Q974" s="10" t="s">
        <v>8317</v>
      </c>
      <c r="R974" s="10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29</v>
      </c>
      <c r="V974">
        <f t="shared" si="95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 s="8">
        <f t="shared" si="91"/>
        <v>51.38</v>
      </c>
      <c r="Q975" s="10" t="s">
        <v>8317</v>
      </c>
      <c r="R975" s="10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60</v>
      </c>
      <c r="V975">
        <f t="shared" si="95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 s="8">
        <f t="shared" si="91"/>
        <v>93.33</v>
      </c>
      <c r="Q976" s="10" t="s">
        <v>8317</v>
      </c>
      <c r="R976" s="10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30</v>
      </c>
      <c r="V976">
        <f t="shared" si="95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 s="8">
        <f t="shared" si="91"/>
        <v>108.63</v>
      </c>
      <c r="Q977" s="10" t="s">
        <v>8317</v>
      </c>
      <c r="R977" s="10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60</v>
      </c>
      <c r="V977">
        <f t="shared" si="95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 s="8">
        <f t="shared" si="91"/>
        <v>160.5</v>
      </c>
      <c r="Q978" s="10" t="s">
        <v>8317</v>
      </c>
      <c r="R978" s="10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45</v>
      </c>
      <c r="V978">
        <f t="shared" si="95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 s="8">
        <f t="shared" si="91"/>
        <v>75.75</v>
      </c>
      <c r="Q979" s="10" t="s">
        <v>8317</v>
      </c>
      <c r="R979" s="10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30</v>
      </c>
      <c r="V979">
        <f t="shared" si="95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 s="8">
        <f t="shared" si="91"/>
        <v>790.84</v>
      </c>
      <c r="Q980" s="10" t="s">
        <v>8317</v>
      </c>
      <c r="R980" s="1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30</v>
      </c>
      <c r="V980">
        <f t="shared" si="95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 s="8">
        <f t="shared" si="91"/>
        <v>301.94</v>
      </c>
      <c r="Q981" s="10" t="s">
        <v>8317</v>
      </c>
      <c r="R981" s="10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35</v>
      </c>
      <c r="V981">
        <f t="shared" si="95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 s="8">
        <f t="shared" si="91"/>
        <v>47.94</v>
      </c>
      <c r="Q982" s="10" t="s">
        <v>8317</v>
      </c>
      <c r="R982" s="10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45</v>
      </c>
      <c r="V982">
        <f t="shared" si="95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 s="8">
        <f t="shared" si="91"/>
        <v>2.75</v>
      </c>
      <c r="Q983" s="10" t="s">
        <v>8317</v>
      </c>
      <c r="R983" s="10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30</v>
      </c>
      <c r="V983">
        <f t="shared" si="95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 s="8">
        <f t="shared" si="91"/>
        <v>1</v>
      </c>
      <c r="Q984" s="10" t="s">
        <v>8317</v>
      </c>
      <c r="R984" s="10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30</v>
      </c>
      <c r="V984">
        <f t="shared" si="95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 s="8">
        <f t="shared" si="91"/>
        <v>171.79</v>
      </c>
      <c r="Q985" s="10" t="s">
        <v>8317</v>
      </c>
      <c r="R985" s="10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31</v>
      </c>
      <c r="V985">
        <f t="shared" si="95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 s="8">
        <f t="shared" si="91"/>
        <v>35.33</v>
      </c>
      <c r="Q986" s="10" t="s">
        <v>8317</v>
      </c>
      <c r="R986" s="10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30</v>
      </c>
      <c r="V986">
        <f t="shared" si="95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 s="8">
        <f t="shared" si="91"/>
        <v>82.09</v>
      </c>
      <c r="Q987" s="10" t="s">
        <v>8317</v>
      </c>
      <c r="R987" s="10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30</v>
      </c>
      <c r="V987">
        <f t="shared" si="95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 s="8">
        <f t="shared" si="91"/>
        <v>110.87</v>
      </c>
      <c r="Q988" s="10" t="s">
        <v>8317</v>
      </c>
      <c r="R988" s="10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54</v>
      </c>
      <c r="V988">
        <f t="shared" si="95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 s="8">
        <f t="shared" si="91"/>
        <v>161.22</v>
      </c>
      <c r="Q989" s="10" t="s">
        <v>8317</v>
      </c>
      <c r="R989" s="10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40</v>
      </c>
      <c r="V989">
        <f t="shared" si="95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 s="8">
        <f t="shared" si="91"/>
        <v>0</v>
      </c>
      <c r="Q990" s="10" t="s">
        <v>8317</v>
      </c>
      <c r="R990" s="1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30</v>
      </c>
      <c r="V990">
        <f t="shared" si="95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 s="8">
        <f t="shared" si="91"/>
        <v>52.41</v>
      </c>
      <c r="Q991" s="10" t="s">
        <v>8317</v>
      </c>
      <c r="R991" s="10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30</v>
      </c>
      <c r="V991">
        <f t="shared" si="95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 s="8">
        <f t="shared" si="91"/>
        <v>13</v>
      </c>
      <c r="Q992" s="10" t="s">
        <v>8317</v>
      </c>
      <c r="R992" s="10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30</v>
      </c>
      <c r="V992">
        <f t="shared" si="95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 s="8">
        <f t="shared" si="91"/>
        <v>30.29</v>
      </c>
      <c r="Q993" s="10" t="s">
        <v>8317</v>
      </c>
      <c r="R993" s="10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25</v>
      </c>
      <c r="V993">
        <f t="shared" si="95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 s="8">
        <f t="shared" si="91"/>
        <v>116.75</v>
      </c>
      <c r="Q994" s="10" t="s">
        <v>8317</v>
      </c>
      <c r="R994" s="10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60</v>
      </c>
      <c r="V994">
        <f t="shared" si="95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 s="8">
        <f t="shared" si="91"/>
        <v>89.6</v>
      </c>
      <c r="Q995" s="10" t="s">
        <v>8317</v>
      </c>
      <c r="R995" s="10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33</v>
      </c>
      <c r="V995">
        <f t="shared" si="95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 s="8">
        <f t="shared" si="91"/>
        <v>424.45</v>
      </c>
      <c r="Q996" s="10" t="s">
        <v>8317</v>
      </c>
      <c r="R996" s="10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53</v>
      </c>
      <c r="V996">
        <f t="shared" si="95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 s="8">
        <f t="shared" si="91"/>
        <v>80.67</v>
      </c>
      <c r="Q997" s="10" t="s">
        <v>8317</v>
      </c>
      <c r="R997" s="10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25</v>
      </c>
      <c r="V997">
        <f t="shared" si="95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 s="8">
        <f t="shared" si="91"/>
        <v>13</v>
      </c>
      <c r="Q998" s="10" t="s">
        <v>8317</v>
      </c>
      <c r="R998" s="10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30</v>
      </c>
      <c r="V998">
        <f t="shared" si="95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 s="8">
        <f t="shared" si="91"/>
        <v>8.1300000000000008</v>
      </c>
      <c r="Q999" s="10" t="s">
        <v>8317</v>
      </c>
      <c r="R999" s="10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30</v>
      </c>
      <c r="V999">
        <f t="shared" si="95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 s="8">
        <f t="shared" si="91"/>
        <v>153.43</v>
      </c>
      <c r="Q1000" s="10" t="s">
        <v>8317</v>
      </c>
      <c r="R1000" s="1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45</v>
      </c>
      <c r="V1000">
        <f t="shared" si="95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 s="8">
        <f t="shared" si="91"/>
        <v>292.08</v>
      </c>
      <c r="Q1001" s="10" t="s">
        <v>8317</v>
      </c>
      <c r="R1001" s="10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30</v>
      </c>
      <c r="V1001">
        <f t="shared" si="95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 s="8">
        <f t="shared" si="91"/>
        <v>3304</v>
      </c>
      <c r="Q1002" s="10" t="s">
        <v>8317</v>
      </c>
      <c r="R1002" s="10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60</v>
      </c>
      <c r="V1002">
        <f t="shared" si="95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 s="8">
        <f t="shared" si="91"/>
        <v>1300</v>
      </c>
      <c r="Q1003" s="10" t="s">
        <v>8317</v>
      </c>
      <c r="R1003" s="10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45</v>
      </c>
      <c r="V1003">
        <f t="shared" si="95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 s="8">
        <f t="shared" si="91"/>
        <v>134.55000000000001</v>
      </c>
      <c r="Q1004" s="10" t="s">
        <v>8317</v>
      </c>
      <c r="R1004" s="10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30</v>
      </c>
      <c r="V1004">
        <f t="shared" si="95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 s="8">
        <f t="shared" si="91"/>
        <v>214.07</v>
      </c>
      <c r="Q1005" s="10" t="s">
        <v>8317</v>
      </c>
      <c r="R1005" s="10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30</v>
      </c>
      <c r="V1005">
        <f t="shared" si="95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 s="8">
        <f t="shared" si="91"/>
        <v>216.34</v>
      </c>
      <c r="Q1006" s="10" t="s">
        <v>8317</v>
      </c>
      <c r="R1006" s="10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30</v>
      </c>
      <c r="V1006">
        <f t="shared" si="95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 s="8">
        <f t="shared" si="91"/>
        <v>932.31</v>
      </c>
      <c r="Q1007" s="10" t="s">
        <v>8317</v>
      </c>
      <c r="R1007" s="10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31</v>
      </c>
      <c r="V1007">
        <f t="shared" si="95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 s="8">
        <f t="shared" si="91"/>
        <v>29.25</v>
      </c>
      <c r="Q1008" s="10" t="s">
        <v>8317</v>
      </c>
      <c r="R1008" s="10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8</v>
      </c>
      <c r="V1008">
        <f t="shared" si="95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 s="8">
        <f t="shared" si="91"/>
        <v>174.95</v>
      </c>
      <c r="Q1009" s="10" t="s">
        <v>8317</v>
      </c>
      <c r="R1009" s="10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42</v>
      </c>
      <c r="V1009">
        <f t="shared" si="95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 s="8">
        <f t="shared" si="91"/>
        <v>250</v>
      </c>
      <c r="Q1010" s="10" t="s">
        <v>8317</v>
      </c>
      <c r="R1010" s="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30</v>
      </c>
      <c r="V1010">
        <f t="shared" si="95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 s="8">
        <f t="shared" si="91"/>
        <v>65</v>
      </c>
      <c r="Q1011" s="10" t="s">
        <v>8317</v>
      </c>
      <c r="R1011" s="10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30</v>
      </c>
      <c r="V1011">
        <f t="shared" si="95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 s="8">
        <f t="shared" si="91"/>
        <v>55</v>
      </c>
      <c r="Q1012" s="10" t="s">
        <v>8317</v>
      </c>
      <c r="R1012" s="10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56</v>
      </c>
      <c r="V1012">
        <f t="shared" si="95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 s="8">
        <f t="shared" si="91"/>
        <v>75</v>
      </c>
      <c r="Q1013" s="10" t="s">
        <v>8317</v>
      </c>
      <c r="R1013" s="10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45</v>
      </c>
      <c r="V1013">
        <f t="shared" si="95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 s="8">
        <f t="shared" si="91"/>
        <v>1389.36</v>
      </c>
      <c r="Q1014" s="10" t="s">
        <v>8317</v>
      </c>
      <c r="R1014" s="10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45</v>
      </c>
      <c r="V1014">
        <f t="shared" si="95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 s="8">
        <f t="shared" si="91"/>
        <v>95.91</v>
      </c>
      <c r="Q1015" s="10" t="s">
        <v>8317</v>
      </c>
      <c r="R1015" s="10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28</v>
      </c>
      <c r="V1015">
        <f t="shared" si="95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 s="8">
        <f t="shared" si="91"/>
        <v>191.25</v>
      </c>
      <c r="Q1016" s="10" t="s">
        <v>8317</v>
      </c>
      <c r="R1016" s="10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50</v>
      </c>
      <c r="V1016">
        <f t="shared" si="95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 s="8">
        <f t="shared" si="91"/>
        <v>40</v>
      </c>
      <c r="Q1017" s="10" t="s">
        <v>8317</v>
      </c>
      <c r="R1017" s="10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30</v>
      </c>
      <c r="V1017">
        <f t="shared" si="95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 s="8">
        <f t="shared" si="91"/>
        <v>74.790000000000006</v>
      </c>
      <c r="Q1018" s="10" t="s">
        <v>8317</v>
      </c>
      <c r="R1018" s="10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45</v>
      </c>
      <c r="V1018">
        <f t="shared" si="95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 s="8">
        <f t="shared" si="91"/>
        <v>161.12</v>
      </c>
      <c r="Q1019" s="10" t="s">
        <v>8317</v>
      </c>
      <c r="R1019" s="10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40</v>
      </c>
      <c r="V1019">
        <f t="shared" si="95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 s="8">
        <f t="shared" si="91"/>
        <v>88.71</v>
      </c>
      <c r="Q1020" s="10" t="s">
        <v>8317</v>
      </c>
      <c r="R1020" s="1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30</v>
      </c>
      <c r="V1020">
        <f t="shared" si="95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 s="8">
        <f t="shared" si="91"/>
        <v>53.25</v>
      </c>
      <c r="Q1021" s="10" t="s">
        <v>8317</v>
      </c>
      <c r="R1021" s="10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30</v>
      </c>
      <c r="V1021">
        <f t="shared" si="95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 s="8">
        <f t="shared" si="91"/>
        <v>106.2</v>
      </c>
      <c r="Q1022" s="10" t="s">
        <v>8323</v>
      </c>
      <c r="R1022" s="10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30</v>
      </c>
      <c r="V1022">
        <f t="shared" si="95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 s="8">
        <f t="shared" si="91"/>
        <v>22.08</v>
      </c>
      <c r="Q1023" s="10" t="s">
        <v>8323</v>
      </c>
      <c r="R1023" s="10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23</v>
      </c>
      <c r="V1023">
        <f t="shared" si="95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 s="8">
        <f t="shared" si="91"/>
        <v>31.05</v>
      </c>
      <c r="Q1024" s="10" t="s">
        <v>8323</v>
      </c>
      <c r="R1024" s="10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30</v>
      </c>
      <c r="V1024">
        <f t="shared" si="95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 s="8">
        <f t="shared" si="91"/>
        <v>36.21</v>
      </c>
      <c r="Q1025" s="10" t="s">
        <v>8323</v>
      </c>
      <c r="R1025" s="10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30</v>
      </c>
      <c r="V1025">
        <f t="shared" si="95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ROUND((E1026/D1026)*100, 0)</f>
        <v>119</v>
      </c>
      <c r="P1026" s="8">
        <f t="shared" ref="P1026:P1089" si="97">IFERROR(ROUND(E1026/L1026, 2), 0)</f>
        <v>388.98</v>
      </c>
      <c r="Q1026" s="10" t="s">
        <v>8323</v>
      </c>
      <c r="R1026" s="10" t="s">
        <v>8328</v>
      </c>
      <c r="S1026" s="16">
        <f t="shared" ref="S1026:S1089" si="98">(J1026/60/60/24)+DATE(1970, 1, 1)</f>
        <v>42370.580590277779</v>
      </c>
      <c r="T1026" s="16">
        <f t="shared" ref="T1026:T1089" si="99">(I1026/60/60/24)+DATE(1970, 1, 1)</f>
        <v>42400.580590277779</v>
      </c>
      <c r="U1026">
        <f t="shared" si="94"/>
        <v>30</v>
      </c>
      <c r="V1026">
        <f t="shared" si="95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 s="8">
        <f t="shared" si="97"/>
        <v>71.849999999999994</v>
      </c>
      <c r="Q1027" s="10" t="s">
        <v>8323</v>
      </c>
      <c r="R1027" s="10" t="s">
        <v>8328</v>
      </c>
      <c r="S1027" s="16">
        <f t="shared" si="98"/>
        <v>42049.833761574075</v>
      </c>
      <c r="T1027" s="16">
        <f t="shared" si="99"/>
        <v>42079.792094907403</v>
      </c>
      <c r="U1027">
        <f t="shared" ref="U1027:U1090" si="100">ROUND(T1027-S1027, 0)</f>
        <v>30</v>
      </c>
      <c r="V1027">
        <f t="shared" ref="V1027:V1090" si="101">YEAR($S1027)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 s="8">
        <f t="shared" si="97"/>
        <v>57.38</v>
      </c>
      <c r="Q1028" s="10" t="s">
        <v>8323</v>
      </c>
      <c r="R1028" s="10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34</v>
      </c>
      <c r="V1028">
        <f t="shared" si="101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 s="8">
        <f t="shared" si="97"/>
        <v>69.67</v>
      </c>
      <c r="Q1029" s="10" t="s">
        <v>8323</v>
      </c>
      <c r="R1029" s="10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30</v>
      </c>
      <c r="V1029">
        <f t="shared" si="101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 s="8">
        <f t="shared" si="97"/>
        <v>45.99</v>
      </c>
      <c r="Q1030" s="10" t="s">
        <v>8323</v>
      </c>
      <c r="R1030" s="1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45</v>
      </c>
      <c r="V1030">
        <f t="shared" si="101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 s="8">
        <f t="shared" si="97"/>
        <v>79.260000000000005</v>
      </c>
      <c r="Q1031" s="10" t="s">
        <v>8323</v>
      </c>
      <c r="R1031" s="10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54</v>
      </c>
      <c r="V1031">
        <f t="shared" si="101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 s="8">
        <f t="shared" si="97"/>
        <v>43.03</v>
      </c>
      <c r="Q1032" s="10" t="s">
        <v>8323</v>
      </c>
      <c r="R1032" s="10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14</v>
      </c>
      <c r="V1032">
        <f t="shared" si="101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 s="8">
        <f t="shared" si="97"/>
        <v>108.48</v>
      </c>
      <c r="Q1033" s="10" t="s">
        <v>8323</v>
      </c>
      <c r="R1033" s="10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30</v>
      </c>
      <c r="V1033">
        <f t="shared" si="101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 s="8">
        <f t="shared" si="97"/>
        <v>61.03</v>
      </c>
      <c r="Q1034" s="10" t="s">
        <v>8323</v>
      </c>
      <c r="R1034" s="10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30</v>
      </c>
      <c r="V1034">
        <f t="shared" si="101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 s="8">
        <f t="shared" si="97"/>
        <v>50.59</v>
      </c>
      <c r="Q1035" s="10" t="s">
        <v>8323</v>
      </c>
      <c r="R1035" s="10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28</v>
      </c>
      <c r="V1035">
        <f t="shared" si="101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 s="8">
        <f t="shared" si="97"/>
        <v>39.159999999999997</v>
      </c>
      <c r="Q1036" s="10" t="s">
        <v>8323</v>
      </c>
      <c r="R1036" s="10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32</v>
      </c>
      <c r="V1036">
        <f t="shared" si="101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 s="8">
        <f t="shared" si="97"/>
        <v>65.16</v>
      </c>
      <c r="Q1037" s="10" t="s">
        <v>8323</v>
      </c>
      <c r="R1037" s="10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30</v>
      </c>
      <c r="V1037">
        <f t="shared" si="101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 s="8">
        <f t="shared" si="97"/>
        <v>23.96</v>
      </c>
      <c r="Q1038" s="10" t="s">
        <v>8323</v>
      </c>
      <c r="R1038" s="10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32</v>
      </c>
      <c r="V1038">
        <f t="shared" si="101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 s="8">
        <f t="shared" si="97"/>
        <v>48.62</v>
      </c>
      <c r="Q1039" s="10" t="s">
        <v>8323</v>
      </c>
      <c r="R1039" s="10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22</v>
      </c>
      <c r="V1039">
        <f t="shared" si="101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 s="8">
        <f t="shared" si="97"/>
        <v>35.74</v>
      </c>
      <c r="Q1040" s="10" t="s">
        <v>8323</v>
      </c>
      <c r="R1040" s="1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30</v>
      </c>
      <c r="V1040">
        <f t="shared" si="101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 s="8">
        <f t="shared" si="97"/>
        <v>21.37</v>
      </c>
      <c r="Q1041" s="10" t="s">
        <v>8323</v>
      </c>
      <c r="R1041" s="10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25</v>
      </c>
      <c r="V1041">
        <f t="shared" si="101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 s="8">
        <f t="shared" si="97"/>
        <v>250</v>
      </c>
      <c r="Q1042" s="10" t="s">
        <v>8329</v>
      </c>
      <c r="R1042" s="10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30</v>
      </c>
      <c r="V1042">
        <f t="shared" si="101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 s="8">
        <f t="shared" si="97"/>
        <v>0</v>
      </c>
      <c r="Q1043" s="10" t="s">
        <v>8329</v>
      </c>
      <c r="R1043" s="10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</v>
      </c>
      <c r="V1043">
        <f t="shared" si="101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 s="8">
        <f t="shared" si="97"/>
        <v>10</v>
      </c>
      <c r="Q1044" s="10" t="s">
        <v>8329</v>
      </c>
      <c r="R1044" s="10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43</v>
      </c>
      <c r="V1044">
        <f t="shared" si="101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 s="8">
        <f t="shared" si="97"/>
        <v>29.24</v>
      </c>
      <c r="Q1045" s="10" t="s">
        <v>8329</v>
      </c>
      <c r="R1045" s="10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30</v>
      </c>
      <c r="V1045">
        <f t="shared" si="101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 s="8">
        <f t="shared" si="97"/>
        <v>3</v>
      </c>
      <c r="Q1046" s="10" t="s">
        <v>8329</v>
      </c>
      <c r="R1046" s="10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57</v>
      </c>
      <c r="V1046">
        <f t="shared" si="101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 s="8">
        <f t="shared" si="97"/>
        <v>33.25</v>
      </c>
      <c r="Q1047" s="10" t="s">
        <v>8329</v>
      </c>
      <c r="R1047" s="10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30</v>
      </c>
      <c r="V1047">
        <f t="shared" si="101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 s="8">
        <f t="shared" si="97"/>
        <v>0</v>
      </c>
      <c r="Q1048" s="10" t="s">
        <v>8329</v>
      </c>
      <c r="R1048" s="10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45</v>
      </c>
      <c r="V1048">
        <f t="shared" si="101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 s="8">
        <f t="shared" si="97"/>
        <v>1</v>
      </c>
      <c r="Q1049" s="10" t="s">
        <v>8329</v>
      </c>
      <c r="R1049" s="10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30</v>
      </c>
      <c r="V1049">
        <f t="shared" si="101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 s="8">
        <f t="shared" si="97"/>
        <v>53</v>
      </c>
      <c r="Q1050" s="10" t="s">
        <v>8329</v>
      </c>
      <c r="R1050" s="1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40</v>
      </c>
      <c r="V1050">
        <f t="shared" si="101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 s="8">
        <f t="shared" si="97"/>
        <v>0</v>
      </c>
      <c r="Q1051" s="10" t="s">
        <v>8329</v>
      </c>
      <c r="R1051" s="10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30</v>
      </c>
      <c r="V1051">
        <f t="shared" si="101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 s="8">
        <f t="shared" si="97"/>
        <v>0</v>
      </c>
      <c r="Q1052" s="10" t="s">
        <v>8329</v>
      </c>
      <c r="R1052" s="10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30</v>
      </c>
      <c r="V1052">
        <f t="shared" si="101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 s="8">
        <f t="shared" si="97"/>
        <v>0</v>
      </c>
      <c r="Q1053" s="10" t="s">
        <v>8329</v>
      </c>
      <c r="R1053" s="10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28</v>
      </c>
      <c r="V1053">
        <f t="shared" si="101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 s="8">
        <f t="shared" si="97"/>
        <v>0</v>
      </c>
      <c r="Q1054" s="10" t="s">
        <v>8329</v>
      </c>
      <c r="R1054" s="10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44</v>
      </c>
      <c r="V1054">
        <f t="shared" si="101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 s="8">
        <f t="shared" si="97"/>
        <v>15</v>
      </c>
      <c r="Q1055" s="10" t="s">
        <v>8329</v>
      </c>
      <c r="R1055" s="10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25</v>
      </c>
      <c r="V1055">
        <f t="shared" si="101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 s="8">
        <f t="shared" si="97"/>
        <v>0</v>
      </c>
      <c r="Q1056" s="10" t="s">
        <v>8329</v>
      </c>
      <c r="R1056" s="10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30</v>
      </c>
      <c r="V1056">
        <f t="shared" si="101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 s="8">
        <f t="shared" si="97"/>
        <v>0</v>
      </c>
      <c r="Q1057" s="10" t="s">
        <v>8329</v>
      </c>
      <c r="R1057" s="10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30</v>
      </c>
      <c r="V1057">
        <f t="shared" si="101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 s="8">
        <f t="shared" si="97"/>
        <v>0</v>
      </c>
      <c r="Q1058" s="10" t="s">
        <v>8329</v>
      </c>
      <c r="R1058" s="10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60</v>
      </c>
      <c r="V1058">
        <f t="shared" si="101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 s="8">
        <f t="shared" si="97"/>
        <v>0</v>
      </c>
      <c r="Q1059" s="10" t="s">
        <v>8329</v>
      </c>
      <c r="R1059" s="10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30</v>
      </c>
      <c r="V1059">
        <f t="shared" si="101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 s="8">
        <f t="shared" si="97"/>
        <v>0</v>
      </c>
      <c r="Q1060" s="10" t="s">
        <v>8329</v>
      </c>
      <c r="R1060" s="1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41</v>
      </c>
      <c r="V1060">
        <f t="shared" si="101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 s="8">
        <f t="shared" si="97"/>
        <v>0</v>
      </c>
      <c r="Q1061" s="10" t="s">
        <v>8329</v>
      </c>
      <c r="R1061" s="10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30</v>
      </c>
      <c r="V1061">
        <f t="shared" si="101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 s="8">
        <f t="shared" si="97"/>
        <v>50</v>
      </c>
      <c r="Q1062" s="10" t="s">
        <v>8329</v>
      </c>
      <c r="R1062" s="10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30</v>
      </c>
      <c r="V1062">
        <f t="shared" si="101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 s="8">
        <f t="shared" si="97"/>
        <v>0</v>
      </c>
      <c r="Q1063" s="10" t="s">
        <v>8329</v>
      </c>
      <c r="R1063" s="10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60</v>
      </c>
      <c r="V1063">
        <f t="shared" si="101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 s="8">
        <f t="shared" si="97"/>
        <v>47.5</v>
      </c>
      <c r="Q1064" s="10" t="s">
        <v>8329</v>
      </c>
      <c r="R1064" s="10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7</v>
      </c>
      <c r="V1064">
        <f t="shared" si="101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 s="8">
        <f t="shared" si="97"/>
        <v>0</v>
      </c>
      <c r="Q1065" s="10" t="s">
        <v>8329</v>
      </c>
      <c r="R1065" s="10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30</v>
      </c>
      <c r="V1065">
        <f t="shared" si="101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 s="8">
        <f t="shared" si="97"/>
        <v>65.67</v>
      </c>
      <c r="Q1066" s="10" t="s">
        <v>8331</v>
      </c>
      <c r="R1066" s="10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45</v>
      </c>
      <c r="V1066">
        <f t="shared" si="101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 s="8">
        <f t="shared" si="97"/>
        <v>16.2</v>
      </c>
      <c r="Q1067" s="10" t="s">
        <v>8331</v>
      </c>
      <c r="R1067" s="10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28</v>
      </c>
      <c r="V1067">
        <f t="shared" si="101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 s="8">
        <f t="shared" si="97"/>
        <v>34.130000000000003</v>
      </c>
      <c r="Q1068" s="10" t="s">
        <v>8331</v>
      </c>
      <c r="R1068" s="10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45</v>
      </c>
      <c r="V1068">
        <f t="shared" si="101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 s="8">
        <f t="shared" si="97"/>
        <v>13</v>
      </c>
      <c r="Q1069" s="10" t="s">
        <v>8331</v>
      </c>
      <c r="R1069" s="10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30</v>
      </c>
      <c r="V1069">
        <f t="shared" si="101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 s="8">
        <f t="shared" si="97"/>
        <v>11.25</v>
      </c>
      <c r="Q1070" s="10" t="s">
        <v>8331</v>
      </c>
      <c r="R1070" s="1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30</v>
      </c>
      <c r="V1070">
        <f t="shared" si="101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 s="8">
        <f t="shared" si="97"/>
        <v>40.479999999999997</v>
      </c>
      <c r="Q1071" s="10" t="s">
        <v>8331</v>
      </c>
      <c r="R1071" s="10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32</v>
      </c>
      <c r="V1071">
        <f t="shared" si="101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 s="8">
        <f t="shared" si="97"/>
        <v>35</v>
      </c>
      <c r="Q1072" s="10" t="s">
        <v>8331</v>
      </c>
      <c r="R1072" s="10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</v>
      </c>
      <c r="V1072">
        <f t="shared" si="101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 s="8">
        <f t="shared" si="97"/>
        <v>0</v>
      </c>
      <c r="Q1073" s="10" t="s">
        <v>8331</v>
      </c>
      <c r="R1073" s="10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30</v>
      </c>
      <c r="V1073">
        <f t="shared" si="101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 s="8">
        <f t="shared" si="97"/>
        <v>12.75</v>
      </c>
      <c r="Q1074" s="10" t="s">
        <v>8331</v>
      </c>
      <c r="R1074" s="10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30</v>
      </c>
      <c r="V1074">
        <f t="shared" si="101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 s="8">
        <f t="shared" si="97"/>
        <v>10</v>
      </c>
      <c r="Q1075" s="10" t="s">
        <v>8331</v>
      </c>
      <c r="R1075" s="10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30</v>
      </c>
      <c r="V1075">
        <f t="shared" si="101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 s="8">
        <f t="shared" si="97"/>
        <v>113.57</v>
      </c>
      <c r="Q1076" s="10" t="s">
        <v>8331</v>
      </c>
      <c r="R1076" s="10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30</v>
      </c>
      <c r="V1076">
        <f t="shared" si="101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 s="8">
        <f t="shared" si="97"/>
        <v>15</v>
      </c>
      <c r="Q1077" s="10" t="s">
        <v>8331</v>
      </c>
      <c r="R1077" s="10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30</v>
      </c>
      <c r="V1077">
        <f t="shared" si="101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 s="8">
        <f t="shared" si="97"/>
        <v>48.28</v>
      </c>
      <c r="Q1078" s="10" t="s">
        <v>8331</v>
      </c>
      <c r="R1078" s="10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55</v>
      </c>
      <c r="V1078">
        <f t="shared" si="101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 s="8">
        <f t="shared" si="97"/>
        <v>43.98</v>
      </c>
      <c r="Q1079" s="10" t="s">
        <v>8331</v>
      </c>
      <c r="R1079" s="10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30</v>
      </c>
      <c r="V1079">
        <f t="shared" si="101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 s="8">
        <f t="shared" si="97"/>
        <v>9</v>
      </c>
      <c r="Q1080" s="10" t="s">
        <v>8331</v>
      </c>
      <c r="R1080" s="1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45</v>
      </c>
      <c r="V1080">
        <f t="shared" si="101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 s="8">
        <f t="shared" si="97"/>
        <v>37.67</v>
      </c>
      <c r="Q1081" s="10" t="s">
        <v>8331</v>
      </c>
      <c r="R1081" s="10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25</v>
      </c>
      <c r="V1081">
        <f t="shared" si="101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 s="8">
        <f t="shared" si="97"/>
        <v>18.579999999999998</v>
      </c>
      <c r="Q1082" s="10" t="s">
        <v>8331</v>
      </c>
      <c r="R1082" s="10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30</v>
      </c>
      <c r="V1082">
        <f t="shared" si="101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 s="8">
        <f t="shared" si="97"/>
        <v>3</v>
      </c>
      <c r="Q1083" s="10" t="s">
        <v>8331</v>
      </c>
      <c r="R1083" s="10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30</v>
      </c>
      <c r="V1083">
        <f t="shared" si="101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 s="8">
        <f t="shared" si="97"/>
        <v>18.670000000000002</v>
      </c>
      <c r="Q1084" s="10" t="s">
        <v>8331</v>
      </c>
      <c r="R1084" s="10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30</v>
      </c>
      <c r="V1084">
        <f t="shared" si="101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 s="8">
        <f t="shared" si="97"/>
        <v>410</v>
      </c>
      <c r="Q1085" s="10" t="s">
        <v>8331</v>
      </c>
      <c r="R1085" s="10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60</v>
      </c>
      <c r="V1085">
        <f t="shared" si="101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 s="8">
        <f t="shared" si="97"/>
        <v>0</v>
      </c>
      <c r="Q1086" s="10" t="s">
        <v>8331</v>
      </c>
      <c r="R1086" s="10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30</v>
      </c>
      <c r="V1086">
        <f t="shared" si="101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 s="8">
        <f t="shared" si="97"/>
        <v>114</v>
      </c>
      <c r="Q1087" s="10" t="s">
        <v>8331</v>
      </c>
      <c r="R1087" s="10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30</v>
      </c>
      <c r="V1087">
        <f t="shared" si="101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 s="8">
        <f t="shared" si="97"/>
        <v>7.5</v>
      </c>
      <c r="Q1088" s="10" t="s">
        <v>8331</v>
      </c>
      <c r="R1088" s="10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30</v>
      </c>
      <c r="V1088">
        <f t="shared" si="101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 s="8">
        <f t="shared" si="97"/>
        <v>0</v>
      </c>
      <c r="Q1089" s="10" t="s">
        <v>8331</v>
      </c>
      <c r="R1089" s="10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30</v>
      </c>
      <c r="V1089">
        <f t="shared" si="101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ROUND((E1090/D1090)*100, 0)</f>
        <v>14</v>
      </c>
      <c r="P1090" s="8">
        <f t="shared" ref="P1090:P1153" si="103">IFERROR(ROUND(E1090/L1090, 2), 0)</f>
        <v>43.42</v>
      </c>
      <c r="Q1090" s="10" t="s">
        <v>8331</v>
      </c>
      <c r="R1090" s="10" t="s">
        <v>8332</v>
      </c>
      <c r="S1090" s="16">
        <f t="shared" ref="S1090:S1153" si="104">(J1090/60/60/24)+DATE(1970, 1, 1)</f>
        <v>41723.799386574072</v>
      </c>
      <c r="T1090" s="16">
        <f t="shared" ref="T1090:T1153" si="105">(I1090/60/60/24)+DATE(1970, 1, 1)</f>
        <v>41753.799386574072</v>
      </c>
      <c r="U1090">
        <f t="shared" si="100"/>
        <v>30</v>
      </c>
      <c r="V1090">
        <f t="shared" si="101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 s="8">
        <f t="shared" si="103"/>
        <v>23.96</v>
      </c>
      <c r="Q1091" s="10" t="s">
        <v>8331</v>
      </c>
      <c r="R1091" s="10" t="s">
        <v>8332</v>
      </c>
      <c r="S1091" s="16">
        <f t="shared" si="104"/>
        <v>42151.189525462964</v>
      </c>
      <c r="T1091" s="16">
        <f t="shared" si="105"/>
        <v>42181.189525462964</v>
      </c>
      <c r="U1091">
        <f t="shared" ref="U1091:U1154" si="106">ROUND(T1091-S1091, 0)</f>
        <v>30</v>
      </c>
      <c r="V1091">
        <f t="shared" ref="V1091:V1154" si="107">YEAR($S1091)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 s="8">
        <f t="shared" si="103"/>
        <v>5</v>
      </c>
      <c r="Q1092" s="10" t="s">
        <v>8331</v>
      </c>
      <c r="R1092" s="10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30</v>
      </c>
      <c r="V1092">
        <f t="shared" si="107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 s="8">
        <f t="shared" si="103"/>
        <v>12.5</v>
      </c>
      <c r="Q1093" s="10" t="s">
        <v>8331</v>
      </c>
      <c r="R1093" s="10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30</v>
      </c>
      <c r="V1093">
        <f t="shared" si="107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 s="8">
        <f t="shared" si="103"/>
        <v>3</v>
      </c>
      <c r="Q1094" s="10" t="s">
        <v>8331</v>
      </c>
      <c r="R1094" s="10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30</v>
      </c>
      <c r="V1094">
        <f t="shared" si="107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 s="8">
        <f t="shared" si="103"/>
        <v>10.56</v>
      </c>
      <c r="Q1095" s="10" t="s">
        <v>8331</v>
      </c>
      <c r="R1095" s="10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15</v>
      </c>
      <c r="V1095">
        <f t="shared" si="107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 s="8">
        <f t="shared" si="103"/>
        <v>122</v>
      </c>
      <c r="Q1096" s="10" t="s">
        <v>8331</v>
      </c>
      <c r="R1096" s="10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30</v>
      </c>
      <c r="V1096">
        <f t="shared" si="107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 s="8">
        <f t="shared" si="103"/>
        <v>267.81</v>
      </c>
      <c r="Q1097" s="10" t="s">
        <v>8331</v>
      </c>
      <c r="R1097" s="10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30</v>
      </c>
      <c r="V1097">
        <f t="shared" si="107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 s="8">
        <f t="shared" si="103"/>
        <v>74.209999999999994</v>
      </c>
      <c r="Q1098" s="10" t="s">
        <v>8331</v>
      </c>
      <c r="R1098" s="10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31</v>
      </c>
      <c r="V1098">
        <f t="shared" si="107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 s="8">
        <f t="shared" si="103"/>
        <v>6.71</v>
      </c>
      <c r="Q1099" s="10" t="s">
        <v>8331</v>
      </c>
      <c r="R1099" s="10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40</v>
      </c>
      <c r="V1099">
        <f t="shared" si="107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 s="8">
        <f t="shared" si="103"/>
        <v>81.95</v>
      </c>
      <c r="Q1100" s="10" t="s">
        <v>8331</v>
      </c>
      <c r="R1100" s="1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30</v>
      </c>
      <c r="V1100">
        <f t="shared" si="107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 s="8">
        <f t="shared" si="103"/>
        <v>25</v>
      </c>
      <c r="Q1101" s="10" t="s">
        <v>8331</v>
      </c>
      <c r="R1101" s="10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30</v>
      </c>
      <c r="V1101">
        <f t="shared" si="107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 s="8">
        <f t="shared" si="103"/>
        <v>10</v>
      </c>
      <c r="Q1102" s="10" t="s">
        <v>8331</v>
      </c>
      <c r="R1102" s="10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30</v>
      </c>
      <c r="V1102">
        <f t="shared" si="107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 s="8">
        <f t="shared" si="103"/>
        <v>6.83</v>
      </c>
      <c r="Q1103" s="10" t="s">
        <v>8331</v>
      </c>
      <c r="R1103" s="10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27</v>
      </c>
      <c r="V1103">
        <f t="shared" si="107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 s="8">
        <f t="shared" si="103"/>
        <v>17.71</v>
      </c>
      <c r="Q1104" s="10" t="s">
        <v>8331</v>
      </c>
      <c r="R1104" s="10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40</v>
      </c>
      <c r="V1104">
        <f t="shared" si="107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 s="8">
        <f t="shared" si="103"/>
        <v>16.2</v>
      </c>
      <c r="Q1105" s="10" t="s">
        <v>8331</v>
      </c>
      <c r="R1105" s="10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60</v>
      </c>
      <c r="V1105">
        <f t="shared" si="107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 s="8">
        <f t="shared" si="103"/>
        <v>80.3</v>
      </c>
      <c r="Q1106" s="10" t="s">
        <v>8331</v>
      </c>
      <c r="R1106" s="10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30</v>
      </c>
      <c r="V1106">
        <f t="shared" si="107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 s="8">
        <f t="shared" si="103"/>
        <v>71.55</v>
      </c>
      <c r="Q1107" s="10" t="s">
        <v>8331</v>
      </c>
      <c r="R1107" s="10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30</v>
      </c>
      <c r="V1107">
        <f t="shared" si="107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 s="8">
        <f t="shared" si="103"/>
        <v>23.57</v>
      </c>
      <c r="Q1108" s="10" t="s">
        <v>8331</v>
      </c>
      <c r="R1108" s="10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30</v>
      </c>
      <c r="V1108">
        <f t="shared" si="107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s="8">
        <f t="shared" si="103"/>
        <v>0</v>
      </c>
      <c r="Q1109" s="10" t="s">
        <v>8331</v>
      </c>
      <c r="R1109" s="10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30</v>
      </c>
      <c r="V1109">
        <f t="shared" si="107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 s="8">
        <f t="shared" si="103"/>
        <v>34.880000000000003</v>
      </c>
      <c r="Q1110" s="10" t="s">
        <v>8331</v>
      </c>
      <c r="R1110" s="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60</v>
      </c>
      <c r="V1110">
        <f t="shared" si="107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 s="8">
        <f t="shared" si="103"/>
        <v>15</v>
      </c>
      <c r="Q1111" s="10" t="s">
        <v>8331</v>
      </c>
      <c r="R1111" s="10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30</v>
      </c>
      <c r="V1111">
        <f t="shared" si="107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 s="8">
        <f t="shared" si="103"/>
        <v>23.18</v>
      </c>
      <c r="Q1112" s="10" t="s">
        <v>8331</v>
      </c>
      <c r="R1112" s="10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30</v>
      </c>
      <c r="V1112">
        <f t="shared" si="107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 s="8">
        <f t="shared" si="103"/>
        <v>1</v>
      </c>
      <c r="Q1113" s="10" t="s">
        <v>8331</v>
      </c>
      <c r="R1113" s="10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30</v>
      </c>
      <c r="V1113">
        <f t="shared" si="107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 s="8">
        <f t="shared" si="103"/>
        <v>100.23</v>
      </c>
      <c r="Q1114" s="10" t="s">
        <v>8331</v>
      </c>
      <c r="R1114" s="10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60</v>
      </c>
      <c r="V1114">
        <f t="shared" si="107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 s="8">
        <f t="shared" si="103"/>
        <v>5</v>
      </c>
      <c r="Q1115" s="10" t="s">
        <v>8331</v>
      </c>
      <c r="R1115" s="10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30</v>
      </c>
      <c r="V1115">
        <f t="shared" si="107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 s="8">
        <f t="shared" si="103"/>
        <v>3.33</v>
      </c>
      <c r="Q1116" s="10" t="s">
        <v>8331</v>
      </c>
      <c r="R1116" s="10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30</v>
      </c>
      <c r="V1116">
        <f t="shared" si="107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 s="8">
        <f t="shared" si="103"/>
        <v>13.25</v>
      </c>
      <c r="Q1117" s="10" t="s">
        <v>8331</v>
      </c>
      <c r="R1117" s="10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30</v>
      </c>
      <c r="V1117">
        <f t="shared" si="107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 s="8">
        <f t="shared" si="103"/>
        <v>17.850000000000001</v>
      </c>
      <c r="Q1118" s="10" t="s">
        <v>8331</v>
      </c>
      <c r="R1118" s="10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60</v>
      </c>
      <c r="V1118">
        <f t="shared" si="107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 s="8">
        <f t="shared" si="103"/>
        <v>10.38</v>
      </c>
      <c r="Q1119" s="10" t="s">
        <v>8331</v>
      </c>
      <c r="R1119" s="10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30</v>
      </c>
      <c r="V1119">
        <f t="shared" si="107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 s="8">
        <f t="shared" si="103"/>
        <v>36.33</v>
      </c>
      <c r="Q1120" s="10" t="s">
        <v>8331</v>
      </c>
      <c r="R1120" s="1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30</v>
      </c>
      <c r="V1120">
        <f t="shared" si="107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 s="8">
        <f t="shared" si="103"/>
        <v>5</v>
      </c>
      <c r="Q1121" s="10" t="s">
        <v>8331</v>
      </c>
      <c r="R1121" s="10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13</v>
      </c>
      <c r="V1121">
        <f t="shared" si="107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 s="8">
        <f t="shared" si="103"/>
        <v>0</v>
      </c>
      <c r="Q1122" s="10" t="s">
        <v>8331</v>
      </c>
      <c r="R1122" s="10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45</v>
      </c>
      <c r="V1122">
        <f t="shared" si="107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 s="8">
        <f t="shared" si="103"/>
        <v>5.8</v>
      </c>
      <c r="Q1123" s="10" t="s">
        <v>8331</v>
      </c>
      <c r="R1123" s="10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30</v>
      </c>
      <c r="V1123">
        <f t="shared" si="107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 s="8">
        <f t="shared" si="103"/>
        <v>0</v>
      </c>
      <c r="Q1124" s="10" t="s">
        <v>8331</v>
      </c>
      <c r="R1124" s="10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14</v>
      </c>
      <c r="V1124">
        <f t="shared" si="107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 s="8">
        <f t="shared" si="103"/>
        <v>3.67</v>
      </c>
      <c r="Q1125" s="10" t="s">
        <v>8331</v>
      </c>
      <c r="R1125" s="10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30</v>
      </c>
      <c r="V1125">
        <f t="shared" si="107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 s="8">
        <f t="shared" si="103"/>
        <v>60.71</v>
      </c>
      <c r="Q1126" s="10" t="s">
        <v>8331</v>
      </c>
      <c r="R1126" s="10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30</v>
      </c>
      <c r="V1126">
        <f t="shared" si="107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 s="8">
        <f t="shared" si="103"/>
        <v>0</v>
      </c>
      <c r="Q1127" s="10" t="s">
        <v>8331</v>
      </c>
      <c r="R1127" s="10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60</v>
      </c>
      <c r="V1127">
        <f t="shared" si="107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 s="8">
        <f t="shared" si="103"/>
        <v>5</v>
      </c>
      <c r="Q1128" s="10" t="s">
        <v>8331</v>
      </c>
      <c r="R1128" s="10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30</v>
      </c>
      <c r="V1128">
        <f t="shared" si="107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 s="8">
        <f t="shared" si="103"/>
        <v>25.43</v>
      </c>
      <c r="Q1129" s="10" t="s">
        <v>8331</v>
      </c>
      <c r="R1129" s="10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31</v>
      </c>
      <c r="V1129">
        <f t="shared" si="107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 s="8">
        <f t="shared" si="103"/>
        <v>1</v>
      </c>
      <c r="Q1130" s="10" t="s">
        <v>8331</v>
      </c>
      <c r="R1130" s="1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30</v>
      </c>
      <c r="V1130">
        <f t="shared" si="107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 s="8">
        <f t="shared" si="103"/>
        <v>10.5</v>
      </c>
      <c r="Q1131" s="10" t="s">
        <v>8331</v>
      </c>
      <c r="R1131" s="10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30</v>
      </c>
      <c r="V1131">
        <f t="shared" si="107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 s="8">
        <f t="shared" si="103"/>
        <v>3.67</v>
      </c>
      <c r="Q1132" s="10" t="s">
        <v>8331</v>
      </c>
      <c r="R1132" s="10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60</v>
      </c>
      <c r="V1132">
        <f t="shared" si="107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 s="8">
        <f t="shared" si="103"/>
        <v>0</v>
      </c>
      <c r="Q1133" s="10" t="s">
        <v>8331</v>
      </c>
      <c r="R1133" s="10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30</v>
      </c>
      <c r="V1133">
        <f t="shared" si="107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 s="8">
        <f t="shared" si="103"/>
        <v>110.62</v>
      </c>
      <c r="Q1134" s="10" t="s">
        <v>8331</v>
      </c>
      <c r="R1134" s="10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30</v>
      </c>
      <c r="V1134">
        <f t="shared" si="107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 s="8">
        <f t="shared" si="103"/>
        <v>20</v>
      </c>
      <c r="Q1135" s="10" t="s">
        <v>8331</v>
      </c>
      <c r="R1135" s="10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30</v>
      </c>
      <c r="V1135">
        <f t="shared" si="107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 s="8">
        <f t="shared" si="103"/>
        <v>1</v>
      </c>
      <c r="Q1136" s="10" t="s">
        <v>8331</v>
      </c>
      <c r="R1136" s="10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14</v>
      </c>
      <c r="V1136">
        <f t="shared" si="107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 s="8">
        <f t="shared" si="103"/>
        <v>50</v>
      </c>
      <c r="Q1137" s="10" t="s">
        <v>8331</v>
      </c>
      <c r="R1137" s="10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30</v>
      </c>
      <c r="V1137">
        <f t="shared" si="107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 s="8">
        <f t="shared" si="103"/>
        <v>45</v>
      </c>
      <c r="Q1138" s="10" t="s">
        <v>8331</v>
      </c>
      <c r="R1138" s="10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30</v>
      </c>
      <c r="V1138">
        <f t="shared" si="107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 s="8">
        <f t="shared" si="103"/>
        <v>253.21</v>
      </c>
      <c r="Q1139" s="10" t="s">
        <v>8331</v>
      </c>
      <c r="R1139" s="10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30</v>
      </c>
      <c r="V1139">
        <f t="shared" si="107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 s="8">
        <f t="shared" si="103"/>
        <v>31.25</v>
      </c>
      <c r="Q1140" s="10" t="s">
        <v>8331</v>
      </c>
      <c r="R1140" s="1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</v>
      </c>
      <c r="V1140">
        <f t="shared" si="107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 s="8">
        <f t="shared" si="103"/>
        <v>5</v>
      </c>
      <c r="Q1141" s="10" t="s">
        <v>8331</v>
      </c>
      <c r="R1141" s="10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30</v>
      </c>
      <c r="V1141">
        <f t="shared" si="107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 s="8">
        <f t="shared" si="103"/>
        <v>0</v>
      </c>
      <c r="Q1142" s="10" t="s">
        <v>8331</v>
      </c>
      <c r="R1142" s="10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30</v>
      </c>
      <c r="V1142">
        <f t="shared" si="107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 s="8">
        <f t="shared" si="103"/>
        <v>0</v>
      </c>
      <c r="Q1143" s="10" t="s">
        <v>8331</v>
      </c>
      <c r="R1143" s="10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30</v>
      </c>
      <c r="V1143">
        <f t="shared" si="107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 s="8">
        <f t="shared" si="103"/>
        <v>0</v>
      </c>
      <c r="Q1144" s="10" t="s">
        <v>8331</v>
      </c>
      <c r="R1144" s="10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30</v>
      </c>
      <c r="V1144">
        <f t="shared" si="107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 s="8">
        <f t="shared" si="103"/>
        <v>23.25</v>
      </c>
      <c r="Q1145" s="10" t="s">
        <v>8331</v>
      </c>
      <c r="R1145" s="10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30</v>
      </c>
      <c r="V1145">
        <f t="shared" si="107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 s="8">
        <f t="shared" si="103"/>
        <v>0</v>
      </c>
      <c r="Q1146" s="10" t="s">
        <v>8334</v>
      </c>
      <c r="R1146" s="10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30</v>
      </c>
      <c r="V1146">
        <f t="shared" si="107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 s="8">
        <f t="shared" si="103"/>
        <v>100</v>
      </c>
      <c r="Q1147" s="10" t="s">
        <v>8334</v>
      </c>
      <c r="R1147" s="10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60</v>
      </c>
      <c r="V1147">
        <f t="shared" si="107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 s="8">
        <f t="shared" si="103"/>
        <v>44.17</v>
      </c>
      <c r="Q1148" s="10" t="s">
        <v>8334</v>
      </c>
      <c r="R1148" s="10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38</v>
      </c>
      <c r="V1148">
        <f t="shared" si="107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 s="8">
        <f t="shared" si="103"/>
        <v>0</v>
      </c>
      <c r="Q1149" s="10" t="s">
        <v>8334</v>
      </c>
      <c r="R1149" s="10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60</v>
      </c>
      <c r="V1149">
        <f t="shared" si="107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 s="8">
        <f t="shared" si="103"/>
        <v>24.33</v>
      </c>
      <c r="Q1150" s="10" t="s">
        <v>8334</v>
      </c>
      <c r="R1150" s="1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30</v>
      </c>
      <c r="V1150">
        <f t="shared" si="107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 s="8">
        <f t="shared" si="103"/>
        <v>37.5</v>
      </c>
      <c r="Q1151" s="10" t="s">
        <v>8334</v>
      </c>
      <c r="R1151" s="10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30</v>
      </c>
      <c r="V1151">
        <f t="shared" si="107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 s="8">
        <f t="shared" si="103"/>
        <v>42</v>
      </c>
      <c r="Q1152" s="10" t="s">
        <v>8334</v>
      </c>
      <c r="R1152" s="10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60</v>
      </c>
      <c r="V1152">
        <f t="shared" si="107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 s="8">
        <f t="shared" si="103"/>
        <v>0</v>
      </c>
      <c r="Q1153" s="10" t="s">
        <v>8334</v>
      </c>
      <c r="R1153" s="10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30</v>
      </c>
      <c r="V1153">
        <f t="shared" si="107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ROUND((E1154/D1154)*100, 0)</f>
        <v>6</v>
      </c>
      <c r="P1154" s="8">
        <f t="shared" ref="P1154:P1217" si="109">IFERROR(ROUND(E1154/L1154, 2), 0)</f>
        <v>60.73</v>
      </c>
      <c r="Q1154" s="10" t="s">
        <v>8334</v>
      </c>
      <c r="R1154" s="10" t="s">
        <v>8335</v>
      </c>
      <c r="S1154" s="16">
        <f t="shared" ref="S1154:S1217" si="110">(J1154/60/60/24)+DATE(1970, 1, 1)</f>
        <v>42109.709629629629</v>
      </c>
      <c r="T1154" s="16">
        <f t="shared" ref="T1154:T1217" si="111">(I1154/60/60/24)+DATE(1970, 1, 1)</f>
        <v>42139.709629629629</v>
      </c>
      <c r="U1154">
        <f t="shared" si="106"/>
        <v>30</v>
      </c>
      <c r="V1154">
        <f t="shared" si="107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 s="8">
        <f t="shared" si="109"/>
        <v>50</v>
      </c>
      <c r="Q1155" s="10" t="s">
        <v>8334</v>
      </c>
      <c r="R1155" s="10" t="s">
        <v>8335</v>
      </c>
      <c r="S1155" s="16">
        <f t="shared" si="110"/>
        <v>42143.714178240742</v>
      </c>
      <c r="T1155" s="16">
        <f t="shared" si="111"/>
        <v>42173.714178240742</v>
      </c>
      <c r="U1155">
        <f t="shared" ref="U1155:U1218" si="112">ROUND(T1155-S1155, 0)</f>
        <v>30</v>
      </c>
      <c r="V1155">
        <f t="shared" ref="V1155:V1218" si="113">YEAR($S1155)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 s="8">
        <f t="shared" si="109"/>
        <v>108.33</v>
      </c>
      <c r="Q1156" s="10" t="s">
        <v>8334</v>
      </c>
      <c r="R1156" s="10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30</v>
      </c>
      <c r="V1156">
        <f t="shared" si="113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 s="8">
        <f t="shared" si="109"/>
        <v>23.5</v>
      </c>
      <c r="Q1157" s="10" t="s">
        <v>8334</v>
      </c>
      <c r="R1157" s="10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30</v>
      </c>
      <c r="V1157">
        <f t="shared" si="113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 s="8">
        <f t="shared" si="109"/>
        <v>0</v>
      </c>
      <c r="Q1158" s="10" t="s">
        <v>8334</v>
      </c>
      <c r="R1158" s="10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30</v>
      </c>
      <c r="V1158">
        <f t="shared" si="113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 s="8">
        <f t="shared" si="109"/>
        <v>50.33</v>
      </c>
      <c r="Q1159" s="10" t="s">
        <v>8334</v>
      </c>
      <c r="R1159" s="10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60</v>
      </c>
      <c r="V1159">
        <f t="shared" si="113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 s="8">
        <f t="shared" si="109"/>
        <v>11.67</v>
      </c>
      <c r="Q1160" s="10" t="s">
        <v>8334</v>
      </c>
      <c r="R1160" s="1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30</v>
      </c>
      <c r="V1160">
        <f t="shared" si="113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 s="8">
        <f t="shared" si="109"/>
        <v>0</v>
      </c>
      <c r="Q1161" s="10" t="s">
        <v>8334</v>
      </c>
      <c r="R1161" s="10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31</v>
      </c>
      <c r="V1161">
        <f t="shared" si="113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 s="8">
        <f t="shared" si="109"/>
        <v>60.79</v>
      </c>
      <c r="Q1162" s="10" t="s">
        <v>8334</v>
      </c>
      <c r="R1162" s="10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30</v>
      </c>
      <c r="V1162">
        <f t="shared" si="113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 s="8">
        <f t="shared" si="109"/>
        <v>0</v>
      </c>
      <c r="Q1163" s="10" t="s">
        <v>8334</v>
      </c>
      <c r="R1163" s="10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21</v>
      </c>
      <c r="V1163">
        <f t="shared" si="113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 s="8">
        <f t="shared" si="109"/>
        <v>17.5</v>
      </c>
      <c r="Q1164" s="10" t="s">
        <v>8334</v>
      </c>
      <c r="R1164" s="10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31</v>
      </c>
      <c r="V1164">
        <f t="shared" si="113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 s="8">
        <f t="shared" si="109"/>
        <v>0</v>
      </c>
      <c r="Q1165" s="10" t="s">
        <v>8334</v>
      </c>
      <c r="R1165" s="10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30</v>
      </c>
      <c r="V1165">
        <f t="shared" si="113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 s="8">
        <f t="shared" si="109"/>
        <v>0</v>
      </c>
      <c r="Q1166" s="10" t="s">
        <v>8334</v>
      </c>
      <c r="R1166" s="10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30</v>
      </c>
      <c r="V1166">
        <f t="shared" si="113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 s="8">
        <f t="shared" si="109"/>
        <v>82.82</v>
      </c>
      <c r="Q1167" s="10" t="s">
        <v>8334</v>
      </c>
      <c r="R1167" s="10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34</v>
      </c>
      <c r="V1167">
        <f t="shared" si="113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 s="8">
        <f t="shared" si="109"/>
        <v>358.88</v>
      </c>
      <c r="Q1168" s="10" t="s">
        <v>8334</v>
      </c>
      <c r="R1168" s="10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31</v>
      </c>
      <c r="V1168">
        <f t="shared" si="113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 s="8">
        <f t="shared" si="109"/>
        <v>61.19</v>
      </c>
      <c r="Q1169" s="10" t="s">
        <v>8334</v>
      </c>
      <c r="R1169" s="10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31</v>
      </c>
      <c r="V1169">
        <f t="shared" si="113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 s="8">
        <f t="shared" si="109"/>
        <v>340</v>
      </c>
      <c r="Q1170" s="10" t="s">
        <v>8334</v>
      </c>
      <c r="R1170" s="1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30</v>
      </c>
      <c r="V1170">
        <f t="shared" si="113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 s="8">
        <f t="shared" si="109"/>
        <v>5.67</v>
      </c>
      <c r="Q1171" s="10" t="s">
        <v>8334</v>
      </c>
      <c r="R1171" s="10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30</v>
      </c>
      <c r="V1171">
        <f t="shared" si="113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 s="8">
        <f t="shared" si="109"/>
        <v>50</v>
      </c>
      <c r="Q1172" s="10" t="s">
        <v>8334</v>
      </c>
      <c r="R1172" s="10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30</v>
      </c>
      <c r="V1172">
        <f t="shared" si="113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 s="8">
        <f t="shared" si="109"/>
        <v>25</v>
      </c>
      <c r="Q1173" s="10" t="s">
        <v>8334</v>
      </c>
      <c r="R1173" s="10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18</v>
      </c>
      <c r="V1173">
        <f t="shared" si="113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 s="8">
        <f t="shared" si="109"/>
        <v>0</v>
      </c>
      <c r="Q1174" s="10" t="s">
        <v>8334</v>
      </c>
      <c r="R1174" s="10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30</v>
      </c>
      <c r="V1174">
        <f t="shared" si="113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 s="8">
        <f t="shared" si="109"/>
        <v>30</v>
      </c>
      <c r="Q1175" s="10" t="s">
        <v>8334</v>
      </c>
      <c r="R1175" s="10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35</v>
      </c>
      <c r="V1175">
        <f t="shared" si="113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 s="8">
        <f t="shared" si="109"/>
        <v>46.63</v>
      </c>
      <c r="Q1176" s="10" t="s">
        <v>8334</v>
      </c>
      <c r="R1176" s="10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30</v>
      </c>
      <c r="V1176">
        <f t="shared" si="113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 s="8">
        <f t="shared" si="109"/>
        <v>65</v>
      </c>
      <c r="Q1177" s="10" t="s">
        <v>8334</v>
      </c>
      <c r="R1177" s="10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30</v>
      </c>
      <c r="V1177">
        <f t="shared" si="113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 s="8">
        <f t="shared" si="109"/>
        <v>10</v>
      </c>
      <c r="Q1178" s="10" t="s">
        <v>8334</v>
      </c>
      <c r="R1178" s="10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55</v>
      </c>
      <c r="V1178">
        <f t="shared" si="113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 s="8">
        <f t="shared" si="109"/>
        <v>0</v>
      </c>
      <c r="Q1179" s="10" t="s">
        <v>8334</v>
      </c>
      <c r="R1179" s="10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30</v>
      </c>
      <c r="V1179">
        <f t="shared" si="113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 s="8">
        <f t="shared" si="109"/>
        <v>5</v>
      </c>
      <c r="Q1180" s="10" t="s">
        <v>8334</v>
      </c>
      <c r="R1180" s="1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30</v>
      </c>
      <c r="V1180">
        <f t="shared" si="113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 s="8">
        <f t="shared" si="109"/>
        <v>640</v>
      </c>
      <c r="Q1181" s="10" t="s">
        <v>8334</v>
      </c>
      <c r="R1181" s="10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30</v>
      </c>
      <c r="V1181">
        <f t="shared" si="113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 s="8">
        <f t="shared" si="109"/>
        <v>69.12</v>
      </c>
      <c r="Q1182" s="10" t="s">
        <v>8334</v>
      </c>
      <c r="R1182" s="10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37</v>
      </c>
      <c r="V1182">
        <f t="shared" si="113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 s="8">
        <f t="shared" si="109"/>
        <v>1.33</v>
      </c>
      <c r="Q1183" s="10" t="s">
        <v>8334</v>
      </c>
      <c r="R1183" s="10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30</v>
      </c>
      <c r="V1183">
        <f t="shared" si="113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 s="8">
        <f t="shared" si="109"/>
        <v>10.5</v>
      </c>
      <c r="Q1184" s="10" t="s">
        <v>8334</v>
      </c>
      <c r="R1184" s="10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19</v>
      </c>
      <c r="V1184">
        <f t="shared" si="113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 s="8">
        <f t="shared" si="109"/>
        <v>33.33</v>
      </c>
      <c r="Q1185" s="10" t="s">
        <v>8334</v>
      </c>
      <c r="R1185" s="10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19</v>
      </c>
      <c r="V1185">
        <f t="shared" si="113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 s="8">
        <f t="shared" si="109"/>
        <v>61.56</v>
      </c>
      <c r="Q1186" s="10" t="s">
        <v>8336</v>
      </c>
      <c r="R1186" s="10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31</v>
      </c>
      <c r="V1186">
        <f t="shared" si="113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 s="8">
        <f t="shared" si="109"/>
        <v>118.74</v>
      </c>
      <c r="Q1187" s="10" t="s">
        <v>8336</v>
      </c>
      <c r="R1187" s="10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32</v>
      </c>
      <c r="V1187">
        <f t="shared" si="113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 s="8">
        <f t="shared" si="109"/>
        <v>65.08</v>
      </c>
      <c r="Q1188" s="10" t="s">
        <v>8336</v>
      </c>
      <c r="R1188" s="10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33</v>
      </c>
      <c r="V1188">
        <f t="shared" si="113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 s="8">
        <f t="shared" si="109"/>
        <v>130.16</v>
      </c>
      <c r="Q1189" s="10" t="s">
        <v>8336</v>
      </c>
      <c r="R1189" s="10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32</v>
      </c>
      <c r="V1189">
        <f t="shared" si="113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 s="8">
        <f t="shared" si="109"/>
        <v>37.78</v>
      </c>
      <c r="Q1190" s="10" t="s">
        <v>8336</v>
      </c>
      <c r="R1190" s="1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21</v>
      </c>
      <c r="V1190">
        <f t="shared" si="113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 s="8">
        <f t="shared" si="109"/>
        <v>112.79</v>
      </c>
      <c r="Q1191" s="10" t="s">
        <v>8336</v>
      </c>
      <c r="R1191" s="10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21</v>
      </c>
      <c r="V1191">
        <f t="shared" si="113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 s="8">
        <f t="shared" si="109"/>
        <v>51.92</v>
      </c>
      <c r="Q1192" s="10" t="s">
        <v>8336</v>
      </c>
      <c r="R1192" s="10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30</v>
      </c>
      <c r="V1192">
        <f t="shared" si="113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 s="8">
        <f t="shared" si="109"/>
        <v>89.24</v>
      </c>
      <c r="Q1193" s="10" t="s">
        <v>8336</v>
      </c>
      <c r="R1193" s="10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30</v>
      </c>
      <c r="V1193">
        <f t="shared" si="113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 s="8">
        <f t="shared" si="109"/>
        <v>19.329999999999998</v>
      </c>
      <c r="Q1194" s="10" t="s">
        <v>8336</v>
      </c>
      <c r="R1194" s="10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30</v>
      </c>
      <c r="V1194">
        <f t="shared" si="113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 s="8">
        <f t="shared" si="109"/>
        <v>79.97</v>
      </c>
      <c r="Q1195" s="10" t="s">
        <v>8336</v>
      </c>
      <c r="R1195" s="10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60</v>
      </c>
      <c r="V1195">
        <f t="shared" si="113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 s="8">
        <f t="shared" si="109"/>
        <v>56.41</v>
      </c>
      <c r="Q1196" s="10" t="s">
        <v>8336</v>
      </c>
      <c r="R1196" s="10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30</v>
      </c>
      <c r="V1196">
        <f t="shared" si="113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 s="8">
        <f t="shared" si="109"/>
        <v>79.41</v>
      </c>
      <c r="Q1197" s="10" t="s">
        <v>8336</v>
      </c>
      <c r="R1197" s="10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60</v>
      </c>
      <c r="V1197">
        <f t="shared" si="113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 s="8">
        <f t="shared" si="109"/>
        <v>76.44</v>
      </c>
      <c r="Q1198" s="10" t="s">
        <v>8336</v>
      </c>
      <c r="R1198" s="10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30</v>
      </c>
      <c r="V1198">
        <f t="shared" si="113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 s="8">
        <f t="shared" si="109"/>
        <v>121</v>
      </c>
      <c r="Q1199" s="10" t="s">
        <v>8336</v>
      </c>
      <c r="R1199" s="10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31</v>
      </c>
      <c r="V1199">
        <f t="shared" si="113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 s="8">
        <f t="shared" si="109"/>
        <v>54.62</v>
      </c>
      <c r="Q1200" s="10" t="s">
        <v>8336</v>
      </c>
      <c r="R1200" s="1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36</v>
      </c>
      <c r="V1200">
        <f t="shared" si="113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 s="8">
        <f t="shared" si="109"/>
        <v>299.22000000000003</v>
      </c>
      <c r="Q1201" s="10" t="s">
        <v>8336</v>
      </c>
      <c r="R1201" s="10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32</v>
      </c>
      <c r="V1201">
        <f t="shared" si="113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 s="8">
        <f t="shared" si="109"/>
        <v>58.53</v>
      </c>
      <c r="Q1202" s="10" t="s">
        <v>8336</v>
      </c>
      <c r="R1202" s="10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21</v>
      </c>
      <c r="V1202">
        <f t="shared" si="113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 s="8">
        <f t="shared" si="109"/>
        <v>55.37</v>
      </c>
      <c r="Q1203" s="10" t="s">
        <v>8336</v>
      </c>
      <c r="R1203" s="10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30</v>
      </c>
      <c r="V1203">
        <f t="shared" si="113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 s="8">
        <f t="shared" si="109"/>
        <v>183.8</v>
      </c>
      <c r="Q1204" s="10" t="s">
        <v>8336</v>
      </c>
      <c r="R1204" s="10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30</v>
      </c>
      <c r="V1204">
        <f t="shared" si="113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 s="8">
        <f t="shared" si="109"/>
        <v>165.35</v>
      </c>
      <c r="Q1205" s="10" t="s">
        <v>8336</v>
      </c>
      <c r="R1205" s="10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30</v>
      </c>
      <c r="V1205">
        <f t="shared" si="113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 s="8">
        <f t="shared" si="109"/>
        <v>234.79</v>
      </c>
      <c r="Q1206" s="10" t="s">
        <v>8336</v>
      </c>
      <c r="R1206" s="10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44</v>
      </c>
      <c r="V1206">
        <f t="shared" si="113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 s="8">
        <f t="shared" si="109"/>
        <v>211.48</v>
      </c>
      <c r="Q1207" s="10" t="s">
        <v>8336</v>
      </c>
      <c r="R1207" s="10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30</v>
      </c>
      <c r="V1207">
        <f t="shared" si="113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 s="8">
        <f t="shared" si="109"/>
        <v>32.340000000000003</v>
      </c>
      <c r="Q1208" s="10" t="s">
        <v>8336</v>
      </c>
      <c r="R1208" s="10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33</v>
      </c>
      <c r="V1208">
        <f t="shared" si="113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 s="8">
        <f t="shared" si="109"/>
        <v>123.38</v>
      </c>
      <c r="Q1209" s="10" t="s">
        <v>8336</v>
      </c>
      <c r="R1209" s="10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30</v>
      </c>
      <c r="V1209">
        <f t="shared" si="113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 s="8">
        <f t="shared" si="109"/>
        <v>207.07</v>
      </c>
      <c r="Q1210" s="10" t="s">
        <v>8336</v>
      </c>
      <c r="R1210" s="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30</v>
      </c>
      <c r="V1210">
        <f t="shared" si="113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 s="8">
        <f t="shared" si="109"/>
        <v>138.26</v>
      </c>
      <c r="Q1211" s="10" t="s">
        <v>8336</v>
      </c>
      <c r="R1211" s="10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30</v>
      </c>
      <c r="V1211">
        <f t="shared" si="113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 s="8">
        <f t="shared" si="109"/>
        <v>493.82</v>
      </c>
      <c r="Q1212" s="10" t="s">
        <v>8336</v>
      </c>
      <c r="R1212" s="10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23</v>
      </c>
      <c r="V1212">
        <f t="shared" si="113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 s="8">
        <f t="shared" si="109"/>
        <v>168.5</v>
      </c>
      <c r="Q1213" s="10" t="s">
        <v>8336</v>
      </c>
      <c r="R1213" s="10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15</v>
      </c>
      <c r="V1213">
        <f t="shared" si="113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 s="8">
        <f t="shared" si="109"/>
        <v>38.869999999999997</v>
      </c>
      <c r="Q1214" s="10" t="s">
        <v>8336</v>
      </c>
      <c r="R1214" s="10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16</v>
      </c>
      <c r="V1214">
        <f t="shared" si="113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 s="8">
        <f t="shared" si="109"/>
        <v>61.53</v>
      </c>
      <c r="Q1215" s="10" t="s">
        <v>8336</v>
      </c>
      <c r="R1215" s="10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35</v>
      </c>
      <c r="V1215">
        <f t="shared" si="113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 s="8">
        <f t="shared" si="109"/>
        <v>105.44</v>
      </c>
      <c r="Q1216" s="10" t="s">
        <v>8336</v>
      </c>
      <c r="R1216" s="10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60</v>
      </c>
      <c r="V1216">
        <f t="shared" si="113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 s="8">
        <f t="shared" si="109"/>
        <v>71.59</v>
      </c>
      <c r="Q1217" s="10" t="s">
        <v>8336</v>
      </c>
      <c r="R1217" s="10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30</v>
      </c>
      <c r="V1217">
        <f t="shared" si="113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ROUND((E1218/D1218)*100, 0)</f>
        <v>146</v>
      </c>
      <c r="P1218" s="8">
        <f t="shared" ref="P1218:P1281" si="115">IFERROR(ROUND(E1218/L1218, 2), 0)</f>
        <v>91.88</v>
      </c>
      <c r="Q1218" s="10" t="s">
        <v>8336</v>
      </c>
      <c r="R1218" s="10" t="s">
        <v>8337</v>
      </c>
      <c r="S1218" s="16">
        <f t="shared" ref="S1218:S1281" si="116">(J1218/60/60/24)+DATE(1970, 1, 1)</f>
        <v>42247.616400462968</v>
      </c>
      <c r="T1218" s="16">
        <f t="shared" ref="T1218:T1281" si="117">(I1218/60/60/24)+DATE(1970, 1, 1)</f>
        <v>42279.960416666669</v>
      </c>
      <c r="U1218">
        <f t="shared" si="112"/>
        <v>32</v>
      </c>
      <c r="V1218">
        <f t="shared" si="113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 s="8">
        <f t="shared" si="115"/>
        <v>148.57</v>
      </c>
      <c r="Q1219" s="10" t="s">
        <v>8336</v>
      </c>
      <c r="R1219" s="10" t="s">
        <v>8337</v>
      </c>
      <c r="S1219" s="16">
        <f t="shared" si="116"/>
        <v>42535.809490740736</v>
      </c>
      <c r="T1219" s="16">
        <f t="shared" si="117"/>
        <v>42565.809490740736</v>
      </c>
      <c r="U1219">
        <f t="shared" ref="U1219:U1282" si="118">ROUND(T1219-S1219, 0)</f>
        <v>30</v>
      </c>
      <c r="V1219">
        <f t="shared" ref="V1219:V1282" si="119">YEAR($S1219)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 s="8">
        <f t="shared" si="115"/>
        <v>174.21</v>
      </c>
      <c r="Q1220" s="10" t="s">
        <v>8336</v>
      </c>
      <c r="R1220" s="1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30</v>
      </c>
      <c r="V1220">
        <f t="shared" si="11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 s="8">
        <f t="shared" si="115"/>
        <v>102.86</v>
      </c>
      <c r="Q1221" s="10" t="s">
        <v>8336</v>
      </c>
      <c r="R1221" s="10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30</v>
      </c>
      <c r="V1221">
        <f t="shared" si="11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 s="8">
        <f t="shared" si="115"/>
        <v>111.18</v>
      </c>
      <c r="Q1222" s="10" t="s">
        <v>8336</v>
      </c>
      <c r="R1222" s="10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30</v>
      </c>
      <c r="V1222">
        <f t="shared" si="11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 s="8">
        <f t="shared" si="115"/>
        <v>23.8</v>
      </c>
      <c r="Q1223" s="10" t="s">
        <v>8336</v>
      </c>
      <c r="R1223" s="10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28</v>
      </c>
      <c r="V1223">
        <f t="shared" si="11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 s="8">
        <f t="shared" si="115"/>
        <v>81.27</v>
      </c>
      <c r="Q1224" s="10" t="s">
        <v>8336</v>
      </c>
      <c r="R1224" s="10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30</v>
      </c>
      <c r="V1224">
        <f t="shared" si="11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 s="8">
        <f t="shared" si="115"/>
        <v>116.21</v>
      </c>
      <c r="Q1225" s="10" t="s">
        <v>8336</v>
      </c>
      <c r="R1225" s="10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30</v>
      </c>
      <c r="V1225">
        <f t="shared" si="11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 s="8">
        <f t="shared" si="115"/>
        <v>58.89</v>
      </c>
      <c r="Q1226" s="10" t="s">
        <v>8323</v>
      </c>
      <c r="R1226" s="10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60</v>
      </c>
      <c r="V1226">
        <f t="shared" si="11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 s="8">
        <f t="shared" si="115"/>
        <v>44</v>
      </c>
      <c r="Q1227" s="10" t="s">
        <v>8323</v>
      </c>
      <c r="R1227" s="10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60</v>
      </c>
      <c r="V1227">
        <f t="shared" si="11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 s="8">
        <f t="shared" si="115"/>
        <v>48.43</v>
      </c>
      <c r="Q1228" s="10" t="s">
        <v>8323</v>
      </c>
      <c r="R1228" s="10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34</v>
      </c>
      <c r="V1228">
        <f t="shared" si="11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 s="8">
        <f t="shared" si="115"/>
        <v>0</v>
      </c>
      <c r="Q1229" s="10" t="s">
        <v>8323</v>
      </c>
      <c r="R1229" s="10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30</v>
      </c>
      <c r="V1229">
        <f t="shared" si="11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 s="8">
        <f t="shared" si="115"/>
        <v>61.04</v>
      </c>
      <c r="Q1230" s="10" t="s">
        <v>8323</v>
      </c>
      <c r="R1230" s="1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60</v>
      </c>
      <c r="V1230">
        <f t="shared" si="11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 s="8">
        <f t="shared" si="115"/>
        <v>25</v>
      </c>
      <c r="Q1231" s="10" t="s">
        <v>8323</v>
      </c>
      <c r="R1231" s="10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30</v>
      </c>
      <c r="V1231">
        <f t="shared" si="11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 s="8">
        <f t="shared" si="115"/>
        <v>0</v>
      </c>
      <c r="Q1232" s="10" t="s">
        <v>8323</v>
      </c>
      <c r="R1232" s="10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30</v>
      </c>
      <c r="V1232">
        <f t="shared" si="11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 s="8">
        <f t="shared" si="115"/>
        <v>0</v>
      </c>
      <c r="Q1233" s="10" t="s">
        <v>8323</v>
      </c>
      <c r="R1233" s="10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50</v>
      </c>
      <c r="V1233">
        <f t="shared" si="11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 s="8">
        <f t="shared" si="115"/>
        <v>40</v>
      </c>
      <c r="Q1234" s="10" t="s">
        <v>8323</v>
      </c>
      <c r="R1234" s="10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47</v>
      </c>
      <c r="V1234">
        <f t="shared" si="11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 s="8">
        <f t="shared" si="115"/>
        <v>19.329999999999998</v>
      </c>
      <c r="Q1235" s="10" t="s">
        <v>8323</v>
      </c>
      <c r="R1235" s="10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21</v>
      </c>
      <c r="V1235">
        <f t="shared" si="11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 s="8">
        <f t="shared" si="115"/>
        <v>0</v>
      </c>
      <c r="Q1236" s="10" t="s">
        <v>8323</v>
      </c>
      <c r="R1236" s="10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30</v>
      </c>
      <c r="V1236">
        <f t="shared" si="11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 s="8">
        <f t="shared" si="115"/>
        <v>35</v>
      </c>
      <c r="Q1237" s="10" t="s">
        <v>8323</v>
      </c>
      <c r="R1237" s="10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40</v>
      </c>
      <c r="V1237">
        <f t="shared" si="11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 s="8">
        <f t="shared" si="115"/>
        <v>0</v>
      </c>
      <c r="Q1238" s="10" t="s">
        <v>8323</v>
      </c>
      <c r="R1238" s="10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8</v>
      </c>
      <c r="V1238">
        <f t="shared" si="11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 s="8">
        <f t="shared" si="115"/>
        <v>0</v>
      </c>
      <c r="Q1239" s="10" t="s">
        <v>8323</v>
      </c>
      <c r="R1239" s="10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</v>
      </c>
      <c r="V1239">
        <f t="shared" si="11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 s="8">
        <f t="shared" si="115"/>
        <v>59.33</v>
      </c>
      <c r="Q1240" s="10" t="s">
        <v>8323</v>
      </c>
      <c r="R1240" s="1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30</v>
      </c>
      <c r="V1240">
        <f t="shared" si="11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 s="8">
        <f t="shared" si="115"/>
        <v>0</v>
      </c>
      <c r="Q1241" s="10" t="s">
        <v>8323</v>
      </c>
      <c r="R1241" s="10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30</v>
      </c>
      <c r="V1241">
        <f t="shared" si="11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 s="8">
        <f t="shared" si="115"/>
        <v>30.13</v>
      </c>
      <c r="Q1242" s="10" t="s">
        <v>8323</v>
      </c>
      <c r="R1242" s="10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59</v>
      </c>
      <c r="V1242">
        <f t="shared" si="11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 s="8">
        <f t="shared" si="115"/>
        <v>74.62</v>
      </c>
      <c r="Q1243" s="10" t="s">
        <v>8323</v>
      </c>
      <c r="R1243" s="10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22</v>
      </c>
      <c r="V1243">
        <f t="shared" si="11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 s="8">
        <f t="shared" si="115"/>
        <v>5</v>
      </c>
      <c r="Q1244" s="10" t="s">
        <v>8323</v>
      </c>
      <c r="R1244" s="10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15</v>
      </c>
      <c r="V1244">
        <f t="shared" si="11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 s="8">
        <f t="shared" si="115"/>
        <v>44.5</v>
      </c>
      <c r="Q1245" s="10" t="s">
        <v>8323</v>
      </c>
      <c r="R1245" s="10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61</v>
      </c>
      <c r="V1245">
        <f t="shared" si="11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 s="8">
        <f t="shared" si="115"/>
        <v>46.13</v>
      </c>
      <c r="Q1246" s="10" t="s">
        <v>8323</v>
      </c>
      <c r="R1246" s="10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31</v>
      </c>
      <c r="V1246">
        <f t="shared" si="11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 s="8">
        <f t="shared" si="115"/>
        <v>141.47</v>
      </c>
      <c r="Q1247" s="10" t="s">
        <v>8323</v>
      </c>
      <c r="R1247" s="10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30</v>
      </c>
      <c r="V1247">
        <f t="shared" si="11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 s="8">
        <f t="shared" si="115"/>
        <v>75.48</v>
      </c>
      <c r="Q1248" s="10" t="s">
        <v>8323</v>
      </c>
      <c r="R1248" s="10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45</v>
      </c>
      <c r="V1248">
        <f t="shared" si="11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 s="8">
        <f t="shared" si="115"/>
        <v>85.5</v>
      </c>
      <c r="Q1249" s="10" t="s">
        <v>8323</v>
      </c>
      <c r="R1249" s="10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30</v>
      </c>
      <c r="V1249">
        <f t="shared" si="11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 s="8">
        <f t="shared" si="115"/>
        <v>64.25</v>
      </c>
      <c r="Q1250" s="10" t="s">
        <v>8323</v>
      </c>
      <c r="R1250" s="1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36</v>
      </c>
      <c r="V1250">
        <f t="shared" si="11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 s="8">
        <f t="shared" si="115"/>
        <v>64.47</v>
      </c>
      <c r="Q1251" s="10" t="s">
        <v>8323</v>
      </c>
      <c r="R1251" s="10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30</v>
      </c>
      <c r="V1251">
        <f t="shared" si="11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 s="8">
        <f t="shared" si="115"/>
        <v>118.2</v>
      </c>
      <c r="Q1252" s="10" t="s">
        <v>8323</v>
      </c>
      <c r="R1252" s="10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45</v>
      </c>
      <c r="V1252">
        <f t="shared" si="11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 s="8">
        <f t="shared" si="115"/>
        <v>82.54</v>
      </c>
      <c r="Q1253" s="10" t="s">
        <v>8323</v>
      </c>
      <c r="R1253" s="10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60</v>
      </c>
      <c r="V1253">
        <f t="shared" si="11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 s="8">
        <f t="shared" si="115"/>
        <v>34.17</v>
      </c>
      <c r="Q1254" s="10" t="s">
        <v>8323</v>
      </c>
      <c r="R1254" s="10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28</v>
      </c>
      <c r="V1254">
        <f t="shared" si="11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 s="8">
        <f t="shared" si="115"/>
        <v>42.73</v>
      </c>
      <c r="Q1255" s="10" t="s">
        <v>8323</v>
      </c>
      <c r="R1255" s="10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30</v>
      </c>
      <c r="V1255">
        <f t="shared" si="11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 s="8">
        <f t="shared" si="115"/>
        <v>94.49</v>
      </c>
      <c r="Q1256" s="10" t="s">
        <v>8323</v>
      </c>
      <c r="R1256" s="10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57</v>
      </c>
      <c r="V1256">
        <f t="shared" si="11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 s="8">
        <f t="shared" si="115"/>
        <v>55.7</v>
      </c>
      <c r="Q1257" s="10" t="s">
        <v>8323</v>
      </c>
      <c r="R1257" s="10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30</v>
      </c>
      <c r="V1257">
        <f t="shared" si="11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 s="8">
        <f t="shared" si="115"/>
        <v>98.03</v>
      </c>
      <c r="Q1258" s="10" t="s">
        <v>8323</v>
      </c>
      <c r="R1258" s="10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30</v>
      </c>
      <c r="V1258">
        <f t="shared" si="11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 s="8">
        <f t="shared" si="115"/>
        <v>92.1</v>
      </c>
      <c r="Q1259" s="10" t="s">
        <v>8323</v>
      </c>
      <c r="R1259" s="10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49</v>
      </c>
      <c r="V1259">
        <f t="shared" si="11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 s="8">
        <f t="shared" si="115"/>
        <v>38.18</v>
      </c>
      <c r="Q1260" s="10" t="s">
        <v>8323</v>
      </c>
      <c r="R1260" s="1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30</v>
      </c>
      <c r="V1260">
        <f t="shared" si="11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 s="8">
        <f t="shared" si="115"/>
        <v>27.15</v>
      </c>
      <c r="Q1261" s="10" t="s">
        <v>8323</v>
      </c>
      <c r="R1261" s="10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32</v>
      </c>
      <c r="V1261">
        <f t="shared" si="11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 s="8">
        <f t="shared" si="115"/>
        <v>50.69</v>
      </c>
      <c r="Q1262" s="10" t="s">
        <v>8323</v>
      </c>
      <c r="R1262" s="10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30</v>
      </c>
      <c r="V1262">
        <f t="shared" si="11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 s="8">
        <f t="shared" si="115"/>
        <v>38.94</v>
      </c>
      <c r="Q1263" s="10" t="s">
        <v>8323</v>
      </c>
      <c r="R1263" s="10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30</v>
      </c>
      <c r="V1263">
        <f t="shared" si="11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 s="8">
        <f t="shared" si="115"/>
        <v>77.64</v>
      </c>
      <c r="Q1264" s="10" t="s">
        <v>8323</v>
      </c>
      <c r="R1264" s="10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30</v>
      </c>
      <c r="V1264">
        <f t="shared" si="11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 s="8">
        <f t="shared" si="115"/>
        <v>43.54</v>
      </c>
      <c r="Q1265" s="10" t="s">
        <v>8323</v>
      </c>
      <c r="R1265" s="10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35</v>
      </c>
      <c r="V1265">
        <f t="shared" si="11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 s="8">
        <f t="shared" si="115"/>
        <v>31.82</v>
      </c>
      <c r="Q1266" s="10" t="s">
        <v>8323</v>
      </c>
      <c r="R1266" s="10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29</v>
      </c>
      <c r="V1266">
        <f t="shared" si="11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 s="8">
        <f t="shared" si="115"/>
        <v>63.18</v>
      </c>
      <c r="Q1267" s="10" t="s">
        <v>8323</v>
      </c>
      <c r="R1267" s="10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47</v>
      </c>
      <c r="V1267">
        <f t="shared" si="11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 s="8">
        <f t="shared" si="115"/>
        <v>190.9</v>
      </c>
      <c r="Q1268" s="10" t="s">
        <v>8323</v>
      </c>
      <c r="R1268" s="10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30</v>
      </c>
      <c r="V1268">
        <f t="shared" si="11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 s="8">
        <f t="shared" si="115"/>
        <v>140.86000000000001</v>
      </c>
      <c r="Q1269" s="10" t="s">
        <v>8323</v>
      </c>
      <c r="R1269" s="10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30</v>
      </c>
      <c r="V1269">
        <f t="shared" si="11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 s="8">
        <f t="shared" si="115"/>
        <v>76.92</v>
      </c>
      <c r="Q1270" s="10" t="s">
        <v>8323</v>
      </c>
      <c r="R1270" s="1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30</v>
      </c>
      <c r="V1270">
        <f t="shared" si="11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 s="8">
        <f t="shared" si="115"/>
        <v>99.16</v>
      </c>
      <c r="Q1271" s="10" t="s">
        <v>8323</v>
      </c>
      <c r="R1271" s="10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30</v>
      </c>
      <c r="V1271">
        <f t="shared" si="11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 s="8">
        <f t="shared" si="115"/>
        <v>67.88</v>
      </c>
      <c r="Q1272" s="10" t="s">
        <v>8323</v>
      </c>
      <c r="R1272" s="10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60</v>
      </c>
      <c r="V1272">
        <f t="shared" si="11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 s="8">
        <f t="shared" si="115"/>
        <v>246.29</v>
      </c>
      <c r="Q1273" s="10" t="s">
        <v>8323</v>
      </c>
      <c r="R1273" s="10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30</v>
      </c>
      <c r="V1273">
        <f t="shared" si="11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 s="8">
        <f t="shared" si="115"/>
        <v>189.29</v>
      </c>
      <c r="Q1274" s="10" t="s">
        <v>8323</v>
      </c>
      <c r="R1274" s="10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69</v>
      </c>
      <c r="V1274">
        <f t="shared" si="11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 s="8">
        <f t="shared" si="115"/>
        <v>76.67</v>
      </c>
      <c r="Q1275" s="10" t="s">
        <v>8323</v>
      </c>
      <c r="R1275" s="10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30</v>
      </c>
      <c r="V1275">
        <f t="shared" si="11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 s="8">
        <f t="shared" si="115"/>
        <v>82.96</v>
      </c>
      <c r="Q1276" s="10" t="s">
        <v>8323</v>
      </c>
      <c r="R1276" s="10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35</v>
      </c>
      <c r="V1276">
        <f t="shared" si="11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 s="8">
        <f t="shared" si="115"/>
        <v>62.52</v>
      </c>
      <c r="Q1277" s="10" t="s">
        <v>8323</v>
      </c>
      <c r="R1277" s="10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35</v>
      </c>
      <c r="V1277">
        <f t="shared" si="11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 s="8">
        <f t="shared" si="115"/>
        <v>46.07</v>
      </c>
      <c r="Q1278" s="10" t="s">
        <v>8323</v>
      </c>
      <c r="R1278" s="10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49</v>
      </c>
      <c r="V1278">
        <f t="shared" si="11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 s="8">
        <f t="shared" si="115"/>
        <v>38.54</v>
      </c>
      <c r="Q1279" s="10" t="s">
        <v>8323</v>
      </c>
      <c r="R1279" s="10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35</v>
      </c>
      <c r="V1279">
        <f t="shared" si="11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 s="8">
        <f t="shared" si="115"/>
        <v>53.01</v>
      </c>
      <c r="Q1280" s="10" t="s">
        <v>8323</v>
      </c>
      <c r="R1280" s="1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29</v>
      </c>
      <c r="V1280">
        <f t="shared" si="11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 s="8">
        <f t="shared" si="115"/>
        <v>73.36</v>
      </c>
      <c r="Q1281" s="10" t="s">
        <v>8323</v>
      </c>
      <c r="R1281" s="10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40</v>
      </c>
      <c r="V1281">
        <f t="shared" si="11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ROUND((E1282/D1282)*100, 0)</f>
        <v>111</v>
      </c>
      <c r="P1282" s="8">
        <f t="shared" ref="P1282:P1345" si="121">IFERROR(ROUND(E1282/L1282, 2), 0)</f>
        <v>127.98</v>
      </c>
      <c r="Q1282" s="10" t="s">
        <v>8323</v>
      </c>
      <c r="R1282" s="10" t="s">
        <v>8324</v>
      </c>
      <c r="S1282" s="16">
        <f t="shared" ref="S1282:S1345" si="122">(J1282/60/60/24)+DATE(1970, 1, 1)</f>
        <v>40513.757569444446</v>
      </c>
      <c r="T1282" s="16">
        <f t="shared" ref="T1282:T1345" si="123">(I1282/60/60/24)+DATE(1970, 1, 1)</f>
        <v>40603.757569444446</v>
      </c>
      <c r="U1282">
        <f t="shared" si="118"/>
        <v>90</v>
      </c>
      <c r="V1282">
        <f t="shared" si="11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 s="8">
        <f t="shared" si="121"/>
        <v>104.73</v>
      </c>
      <c r="Q1283" s="10" t="s">
        <v>8323</v>
      </c>
      <c r="R1283" s="10" t="s">
        <v>8324</v>
      </c>
      <c r="S1283" s="16">
        <f t="shared" si="122"/>
        <v>41463.743472222224</v>
      </c>
      <c r="T1283" s="16">
        <f t="shared" si="123"/>
        <v>41483.743472222224</v>
      </c>
      <c r="U1283">
        <f t="shared" ref="U1283:U1346" si="124">ROUND(T1283-S1283, 0)</f>
        <v>20</v>
      </c>
      <c r="V1283">
        <f t="shared" ref="V1283:V1346" si="125">YEAR($S1283)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 s="8">
        <f t="shared" si="121"/>
        <v>67.67</v>
      </c>
      <c r="Q1284" s="10" t="s">
        <v>8323</v>
      </c>
      <c r="R1284" s="10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31</v>
      </c>
      <c r="V1284">
        <f t="shared" si="125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 s="8">
        <f t="shared" si="121"/>
        <v>95.93</v>
      </c>
      <c r="Q1285" s="10" t="s">
        <v>8323</v>
      </c>
      <c r="R1285" s="10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23</v>
      </c>
      <c r="V1285">
        <f t="shared" si="125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 s="8">
        <f t="shared" si="121"/>
        <v>65.16</v>
      </c>
      <c r="Q1286" s="10" t="s">
        <v>8315</v>
      </c>
      <c r="R1286" s="10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23</v>
      </c>
      <c r="V1286">
        <f t="shared" si="125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 s="8">
        <f t="shared" si="121"/>
        <v>32.270000000000003</v>
      </c>
      <c r="Q1287" s="10" t="s">
        <v>8315</v>
      </c>
      <c r="R1287" s="10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15</v>
      </c>
      <c r="V1287">
        <f t="shared" si="125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 s="8">
        <f t="shared" si="121"/>
        <v>81.25</v>
      </c>
      <c r="Q1288" s="10" t="s">
        <v>8315</v>
      </c>
      <c r="R1288" s="10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13</v>
      </c>
      <c r="V1288">
        <f t="shared" si="125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 s="8">
        <f t="shared" si="121"/>
        <v>24.2</v>
      </c>
      <c r="Q1289" s="10" t="s">
        <v>8315</v>
      </c>
      <c r="R1289" s="10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60</v>
      </c>
      <c r="V1289">
        <f t="shared" si="125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 s="8">
        <f t="shared" si="121"/>
        <v>65.87</v>
      </c>
      <c r="Q1290" s="10" t="s">
        <v>8315</v>
      </c>
      <c r="R1290" s="1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31</v>
      </c>
      <c r="V1290">
        <f t="shared" si="125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 s="8">
        <f t="shared" si="121"/>
        <v>36.08</v>
      </c>
      <c r="Q1291" s="10" t="s">
        <v>8315</v>
      </c>
      <c r="R1291" s="10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30</v>
      </c>
      <c r="V1291">
        <f t="shared" si="125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 s="8">
        <f t="shared" si="121"/>
        <v>44.19</v>
      </c>
      <c r="Q1292" s="10" t="s">
        <v>8315</v>
      </c>
      <c r="R1292" s="10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31</v>
      </c>
      <c r="V1292">
        <f t="shared" si="125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 s="8">
        <f t="shared" si="121"/>
        <v>104.07</v>
      </c>
      <c r="Q1293" s="10" t="s">
        <v>8315</v>
      </c>
      <c r="R1293" s="10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37</v>
      </c>
      <c r="V1293">
        <f t="shared" si="125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 s="8">
        <f t="shared" si="121"/>
        <v>35.96</v>
      </c>
      <c r="Q1294" s="10" t="s">
        <v>8315</v>
      </c>
      <c r="R1294" s="10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27</v>
      </c>
      <c r="V1294">
        <f t="shared" si="125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 s="8">
        <f t="shared" si="121"/>
        <v>127.79</v>
      </c>
      <c r="Q1295" s="10" t="s">
        <v>8315</v>
      </c>
      <c r="R1295" s="10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30</v>
      </c>
      <c r="V1295">
        <f t="shared" si="125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 s="8">
        <f t="shared" si="121"/>
        <v>27.73</v>
      </c>
      <c r="Q1296" s="10" t="s">
        <v>8315</v>
      </c>
      <c r="R1296" s="10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18</v>
      </c>
      <c r="V1296">
        <f t="shared" si="125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 s="8">
        <f t="shared" si="121"/>
        <v>39.83</v>
      </c>
      <c r="Q1297" s="10" t="s">
        <v>8315</v>
      </c>
      <c r="R1297" s="10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30</v>
      </c>
      <c r="V1297">
        <f t="shared" si="125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 s="8">
        <f t="shared" si="121"/>
        <v>52.17</v>
      </c>
      <c r="Q1298" s="10" t="s">
        <v>8315</v>
      </c>
      <c r="R1298" s="10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20</v>
      </c>
      <c r="V1298">
        <f t="shared" si="125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 s="8">
        <f t="shared" si="121"/>
        <v>92.04</v>
      </c>
      <c r="Q1299" s="10" t="s">
        <v>8315</v>
      </c>
      <c r="R1299" s="10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30</v>
      </c>
      <c r="V1299">
        <f t="shared" si="125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 s="8">
        <f t="shared" si="121"/>
        <v>63.42</v>
      </c>
      <c r="Q1300" s="10" t="s">
        <v>8315</v>
      </c>
      <c r="R1300" s="1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30</v>
      </c>
      <c r="V1300">
        <f t="shared" si="125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 s="8">
        <f t="shared" si="121"/>
        <v>135.63</v>
      </c>
      <c r="Q1301" s="10" t="s">
        <v>8315</v>
      </c>
      <c r="R1301" s="10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30</v>
      </c>
      <c r="V1301">
        <f t="shared" si="125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 s="8">
        <f t="shared" si="121"/>
        <v>168.75</v>
      </c>
      <c r="Q1302" s="10" t="s">
        <v>8315</v>
      </c>
      <c r="R1302" s="10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39</v>
      </c>
      <c r="V1302">
        <f t="shared" si="125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 s="8">
        <f t="shared" si="121"/>
        <v>70.86</v>
      </c>
      <c r="Q1303" s="10" t="s">
        <v>8315</v>
      </c>
      <c r="R1303" s="10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10</v>
      </c>
      <c r="V1303">
        <f t="shared" si="125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 s="8">
        <f t="shared" si="121"/>
        <v>50</v>
      </c>
      <c r="Q1304" s="10" t="s">
        <v>8315</v>
      </c>
      <c r="R1304" s="10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30</v>
      </c>
      <c r="V1304">
        <f t="shared" si="125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 s="8">
        <f t="shared" si="121"/>
        <v>42.21</v>
      </c>
      <c r="Q1305" s="10" t="s">
        <v>8315</v>
      </c>
      <c r="R1305" s="10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16</v>
      </c>
      <c r="V1305">
        <f t="shared" si="125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 s="8">
        <f t="shared" si="121"/>
        <v>152.41</v>
      </c>
      <c r="Q1306" s="10" t="s">
        <v>8317</v>
      </c>
      <c r="R1306" s="10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60</v>
      </c>
      <c r="V1306">
        <f t="shared" si="125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 s="8">
        <f t="shared" si="121"/>
        <v>90.62</v>
      </c>
      <c r="Q1307" s="10" t="s">
        <v>8317</v>
      </c>
      <c r="R1307" s="10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29</v>
      </c>
      <c r="V1307">
        <f t="shared" si="125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 s="8">
        <f t="shared" si="121"/>
        <v>201.6</v>
      </c>
      <c r="Q1308" s="10" t="s">
        <v>8317</v>
      </c>
      <c r="R1308" s="10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30</v>
      </c>
      <c r="V1308">
        <f t="shared" si="125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 s="8">
        <f t="shared" si="121"/>
        <v>127.93</v>
      </c>
      <c r="Q1309" s="10" t="s">
        <v>8317</v>
      </c>
      <c r="R1309" s="10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30</v>
      </c>
      <c r="V1309">
        <f t="shared" si="125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 s="8">
        <f t="shared" si="121"/>
        <v>29.89</v>
      </c>
      <c r="Q1310" s="10" t="s">
        <v>8317</v>
      </c>
      <c r="R1310" s="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40</v>
      </c>
      <c r="V1310">
        <f t="shared" si="125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 s="8">
        <f t="shared" si="121"/>
        <v>367.97</v>
      </c>
      <c r="Q1311" s="10" t="s">
        <v>8317</v>
      </c>
      <c r="R1311" s="10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35</v>
      </c>
      <c r="V1311">
        <f t="shared" si="125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 s="8">
        <f t="shared" si="121"/>
        <v>129.16999999999999</v>
      </c>
      <c r="Q1312" s="10" t="s">
        <v>8317</v>
      </c>
      <c r="R1312" s="10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45</v>
      </c>
      <c r="V1312">
        <f t="shared" si="125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 s="8">
        <f t="shared" si="121"/>
        <v>800.7</v>
      </c>
      <c r="Q1313" s="10" t="s">
        <v>8317</v>
      </c>
      <c r="R1313" s="10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35</v>
      </c>
      <c r="V1313">
        <f t="shared" si="125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 s="8">
        <f t="shared" si="121"/>
        <v>28</v>
      </c>
      <c r="Q1314" s="10" t="s">
        <v>8317</v>
      </c>
      <c r="R1314" s="10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30</v>
      </c>
      <c r="V1314">
        <f t="shared" si="125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 s="8">
        <f t="shared" si="121"/>
        <v>102.02</v>
      </c>
      <c r="Q1315" s="10" t="s">
        <v>8317</v>
      </c>
      <c r="R1315" s="10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30</v>
      </c>
      <c r="V1315">
        <f t="shared" si="125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 s="8">
        <f t="shared" si="121"/>
        <v>184.36</v>
      </c>
      <c r="Q1316" s="10" t="s">
        <v>8317</v>
      </c>
      <c r="R1316" s="10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60</v>
      </c>
      <c r="V1316">
        <f t="shared" si="125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 s="8">
        <f t="shared" si="121"/>
        <v>162.91999999999999</v>
      </c>
      <c r="Q1317" s="10" t="s">
        <v>8317</v>
      </c>
      <c r="R1317" s="10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36</v>
      </c>
      <c r="V1317">
        <f t="shared" si="125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 s="8">
        <f t="shared" si="121"/>
        <v>1</v>
      </c>
      <c r="Q1318" s="10" t="s">
        <v>8317</v>
      </c>
      <c r="R1318" s="10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35</v>
      </c>
      <c r="V1318">
        <f t="shared" si="125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 s="8">
        <f t="shared" si="121"/>
        <v>603.53</v>
      </c>
      <c r="Q1319" s="10" t="s">
        <v>8317</v>
      </c>
      <c r="R1319" s="10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52</v>
      </c>
      <c r="V1319">
        <f t="shared" si="125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 s="8">
        <f t="shared" si="121"/>
        <v>45.41</v>
      </c>
      <c r="Q1320" s="10" t="s">
        <v>8317</v>
      </c>
      <c r="R1320" s="1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30</v>
      </c>
      <c r="V1320">
        <f t="shared" si="125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 s="8">
        <f t="shared" si="121"/>
        <v>97.33</v>
      </c>
      <c r="Q1321" s="10" t="s">
        <v>8317</v>
      </c>
      <c r="R1321" s="10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15</v>
      </c>
      <c r="V1321">
        <f t="shared" si="125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 s="8">
        <f t="shared" si="121"/>
        <v>167.67</v>
      </c>
      <c r="Q1322" s="10" t="s">
        <v>8317</v>
      </c>
      <c r="R1322" s="10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29</v>
      </c>
      <c r="V1322">
        <f t="shared" si="125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 s="8">
        <f t="shared" si="121"/>
        <v>859.86</v>
      </c>
      <c r="Q1323" s="10" t="s">
        <v>8317</v>
      </c>
      <c r="R1323" s="10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30</v>
      </c>
      <c r="V1323">
        <f t="shared" si="125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 s="8">
        <f t="shared" si="121"/>
        <v>26.5</v>
      </c>
      <c r="Q1324" s="10" t="s">
        <v>8317</v>
      </c>
      <c r="R1324" s="10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30</v>
      </c>
      <c r="V1324">
        <f t="shared" si="125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 s="8">
        <f t="shared" si="121"/>
        <v>30.27</v>
      </c>
      <c r="Q1325" s="10" t="s">
        <v>8317</v>
      </c>
      <c r="R1325" s="10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35</v>
      </c>
      <c r="V1325">
        <f t="shared" si="125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 s="8">
        <f t="shared" si="121"/>
        <v>54.67</v>
      </c>
      <c r="Q1326" s="10" t="s">
        <v>8317</v>
      </c>
      <c r="R1326" s="10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30</v>
      </c>
      <c r="V1326">
        <f t="shared" si="125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 s="8">
        <f t="shared" si="121"/>
        <v>60.75</v>
      </c>
      <c r="Q1327" s="10" t="s">
        <v>8317</v>
      </c>
      <c r="R1327" s="10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30</v>
      </c>
      <c r="V1327">
        <f t="shared" si="125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 s="8">
        <f t="shared" si="121"/>
        <v>102.73</v>
      </c>
      <c r="Q1328" s="10" t="s">
        <v>8317</v>
      </c>
      <c r="R1328" s="10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45</v>
      </c>
      <c r="V1328">
        <f t="shared" si="125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 s="8">
        <f t="shared" si="121"/>
        <v>41.59</v>
      </c>
      <c r="Q1329" s="10" t="s">
        <v>8317</v>
      </c>
      <c r="R1329" s="10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30</v>
      </c>
      <c r="V1329">
        <f t="shared" si="125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 s="8">
        <f t="shared" si="121"/>
        <v>116.53</v>
      </c>
      <c r="Q1330" s="10" t="s">
        <v>8317</v>
      </c>
      <c r="R1330" s="1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45</v>
      </c>
      <c r="V1330">
        <f t="shared" si="125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 s="8">
        <f t="shared" si="121"/>
        <v>45.33</v>
      </c>
      <c r="Q1331" s="10" t="s">
        <v>8317</v>
      </c>
      <c r="R1331" s="10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40</v>
      </c>
      <c r="V1331">
        <f t="shared" si="125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 s="8">
        <f t="shared" si="121"/>
        <v>157.46</v>
      </c>
      <c r="Q1332" s="10" t="s">
        <v>8317</v>
      </c>
      <c r="R1332" s="10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31</v>
      </c>
      <c r="V1332">
        <f t="shared" si="125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 s="8">
        <f t="shared" si="121"/>
        <v>100.5</v>
      </c>
      <c r="Q1333" s="10" t="s">
        <v>8317</v>
      </c>
      <c r="R1333" s="10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30</v>
      </c>
      <c r="V1333">
        <f t="shared" si="125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 s="8">
        <f t="shared" si="121"/>
        <v>0</v>
      </c>
      <c r="Q1334" s="10" t="s">
        <v>8317</v>
      </c>
      <c r="R1334" s="10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30</v>
      </c>
      <c r="V1334">
        <f t="shared" si="125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 s="8">
        <f t="shared" si="121"/>
        <v>0</v>
      </c>
      <c r="Q1335" s="10" t="s">
        <v>8317</v>
      </c>
      <c r="R1335" s="10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30</v>
      </c>
      <c r="V1335">
        <f t="shared" si="125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 s="8">
        <f t="shared" si="121"/>
        <v>51.82</v>
      </c>
      <c r="Q1336" s="10" t="s">
        <v>8317</v>
      </c>
      <c r="R1336" s="10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30</v>
      </c>
      <c r="V1336">
        <f t="shared" si="125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 s="8">
        <f t="shared" si="121"/>
        <v>308.75</v>
      </c>
      <c r="Q1337" s="10" t="s">
        <v>8317</v>
      </c>
      <c r="R1337" s="10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30</v>
      </c>
      <c r="V1337">
        <f t="shared" si="125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 s="8">
        <f t="shared" si="121"/>
        <v>379.23</v>
      </c>
      <c r="Q1338" s="10" t="s">
        <v>8317</v>
      </c>
      <c r="R1338" s="10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35</v>
      </c>
      <c r="V1338">
        <f t="shared" si="125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 s="8">
        <f t="shared" si="121"/>
        <v>176.36</v>
      </c>
      <c r="Q1339" s="10" t="s">
        <v>8317</v>
      </c>
      <c r="R1339" s="10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30</v>
      </c>
      <c r="V1339">
        <f t="shared" si="125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 s="8">
        <f t="shared" si="121"/>
        <v>66.069999999999993</v>
      </c>
      <c r="Q1340" s="10" t="s">
        <v>8317</v>
      </c>
      <c r="R1340" s="1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30</v>
      </c>
      <c r="V1340">
        <f t="shared" si="125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 s="8">
        <f t="shared" si="121"/>
        <v>89.65</v>
      </c>
      <c r="Q1341" s="10" t="s">
        <v>8317</v>
      </c>
      <c r="R1341" s="10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45</v>
      </c>
      <c r="V1341">
        <f t="shared" si="125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 s="8">
        <f t="shared" si="121"/>
        <v>0</v>
      </c>
      <c r="Q1342" s="10" t="s">
        <v>8317</v>
      </c>
      <c r="R1342" s="10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30</v>
      </c>
      <c r="V1342">
        <f t="shared" si="125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 s="8">
        <f t="shared" si="121"/>
        <v>382.39</v>
      </c>
      <c r="Q1343" s="10" t="s">
        <v>8317</v>
      </c>
      <c r="R1343" s="10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32</v>
      </c>
      <c r="V1343">
        <f t="shared" si="125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 s="8">
        <f t="shared" si="121"/>
        <v>100</v>
      </c>
      <c r="Q1344" s="10" t="s">
        <v>8317</v>
      </c>
      <c r="R1344" s="10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30</v>
      </c>
      <c r="V1344">
        <f t="shared" si="125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 s="8">
        <f t="shared" si="121"/>
        <v>158.36000000000001</v>
      </c>
      <c r="Q1345" s="10" t="s">
        <v>8317</v>
      </c>
      <c r="R1345" s="10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59</v>
      </c>
      <c r="V1345">
        <f t="shared" si="125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ROUND((E1346/D1346)*100, 0)</f>
        <v>378</v>
      </c>
      <c r="P1346" s="8">
        <f t="shared" ref="P1346:P1409" si="127">IFERROR(ROUND(E1346/L1346, 2), 0)</f>
        <v>40.76</v>
      </c>
      <c r="Q1346" s="10" t="s">
        <v>8320</v>
      </c>
      <c r="R1346" s="10" t="s">
        <v>8321</v>
      </c>
      <c r="S1346" s="16">
        <f t="shared" ref="S1346:S1409" si="128">(J1346/60/60/24)+DATE(1970, 1, 1)</f>
        <v>42522.789803240739</v>
      </c>
      <c r="T1346" s="16">
        <f t="shared" ref="T1346:T1409" si="129">(I1346/60/60/24)+DATE(1970, 1, 1)</f>
        <v>42551.789803240739</v>
      </c>
      <c r="U1346">
        <f t="shared" si="124"/>
        <v>29</v>
      </c>
      <c r="V1346">
        <f t="shared" si="125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 s="8">
        <f t="shared" si="127"/>
        <v>53.57</v>
      </c>
      <c r="Q1347" s="10" t="s">
        <v>8320</v>
      </c>
      <c r="R1347" s="10" t="s">
        <v>8321</v>
      </c>
      <c r="S1347" s="16">
        <f t="shared" si="128"/>
        <v>41799.814340277779</v>
      </c>
      <c r="T1347" s="16">
        <f t="shared" si="129"/>
        <v>41834.814340277779</v>
      </c>
      <c r="U1347">
        <f t="shared" ref="U1347:U1410" si="130">ROUND(T1347-S1347, 0)</f>
        <v>35</v>
      </c>
      <c r="V1347">
        <f t="shared" ref="V1347:V1410" si="131">YEAR($S1347)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 s="8">
        <f t="shared" si="127"/>
        <v>48.45</v>
      </c>
      <c r="Q1348" s="10" t="s">
        <v>8320</v>
      </c>
      <c r="R1348" s="10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30</v>
      </c>
      <c r="V1348">
        <f t="shared" si="131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 s="8">
        <f t="shared" si="127"/>
        <v>82.42</v>
      </c>
      <c r="Q1349" s="10" t="s">
        <v>8320</v>
      </c>
      <c r="R1349" s="10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30</v>
      </c>
      <c r="V1349">
        <f t="shared" si="131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 s="8">
        <f t="shared" si="127"/>
        <v>230.19</v>
      </c>
      <c r="Q1350" s="10" t="s">
        <v>8320</v>
      </c>
      <c r="R1350" s="1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28</v>
      </c>
      <c r="V1350">
        <f t="shared" si="131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 s="8">
        <f t="shared" si="127"/>
        <v>59.36</v>
      </c>
      <c r="Q1351" s="10" t="s">
        <v>8320</v>
      </c>
      <c r="R1351" s="10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37</v>
      </c>
      <c r="V1351">
        <f t="shared" si="131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 s="8">
        <f t="shared" si="127"/>
        <v>66.7</v>
      </c>
      <c r="Q1352" s="10" t="s">
        <v>8320</v>
      </c>
      <c r="R1352" s="10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30</v>
      </c>
      <c r="V1352">
        <f t="shared" si="131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 s="8">
        <f t="shared" si="127"/>
        <v>168.78</v>
      </c>
      <c r="Q1353" s="10" t="s">
        <v>8320</v>
      </c>
      <c r="R1353" s="10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30</v>
      </c>
      <c r="V1353">
        <f t="shared" si="131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 s="8">
        <f t="shared" si="127"/>
        <v>59.97</v>
      </c>
      <c r="Q1354" s="10" t="s">
        <v>8320</v>
      </c>
      <c r="R1354" s="10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52</v>
      </c>
      <c r="V1354">
        <f t="shared" si="131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 s="8">
        <f t="shared" si="127"/>
        <v>31.81</v>
      </c>
      <c r="Q1355" s="10" t="s">
        <v>8320</v>
      </c>
      <c r="R1355" s="10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35</v>
      </c>
      <c r="V1355">
        <f t="shared" si="131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 s="8">
        <f t="shared" si="127"/>
        <v>24.42</v>
      </c>
      <c r="Q1356" s="10" t="s">
        <v>8320</v>
      </c>
      <c r="R1356" s="10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30</v>
      </c>
      <c r="V1356">
        <f t="shared" si="131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 s="8">
        <f t="shared" si="127"/>
        <v>25.35</v>
      </c>
      <c r="Q1357" s="10" t="s">
        <v>8320</v>
      </c>
      <c r="R1357" s="10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30</v>
      </c>
      <c r="V1357">
        <f t="shared" si="131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 s="8">
        <f t="shared" si="127"/>
        <v>71.44</v>
      </c>
      <c r="Q1358" s="10" t="s">
        <v>8320</v>
      </c>
      <c r="R1358" s="10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30</v>
      </c>
      <c r="V1358">
        <f t="shared" si="131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 s="8">
        <f t="shared" si="127"/>
        <v>38.549999999999997</v>
      </c>
      <c r="Q1359" s="10" t="s">
        <v>8320</v>
      </c>
      <c r="R1359" s="10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29</v>
      </c>
      <c r="V1359">
        <f t="shared" si="131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 s="8">
        <f t="shared" si="127"/>
        <v>68.37</v>
      </c>
      <c r="Q1360" s="10" t="s">
        <v>8320</v>
      </c>
      <c r="R1360" s="1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30</v>
      </c>
      <c r="V1360">
        <f t="shared" si="131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 s="8">
        <f t="shared" si="127"/>
        <v>40.21</v>
      </c>
      <c r="Q1361" s="10" t="s">
        <v>8320</v>
      </c>
      <c r="R1361" s="10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62</v>
      </c>
      <c r="V1361">
        <f t="shared" si="131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 s="8">
        <f t="shared" si="127"/>
        <v>32.07</v>
      </c>
      <c r="Q1362" s="10" t="s">
        <v>8320</v>
      </c>
      <c r="R1362" s="10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28</v>
      </c>
      <c r="V1362">
        <f t="shared" si="131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 s="8">
        <f t="shared" si="127"/>
        <v>28.63</v>
      </c>
      <c r="Q1363" s="10" t="s">
        <v>8320</v>
      </c>
      <c r="R1363" s="10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30</v>
      </c>
      <c r="V1363">
        <f t="shared" si="131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 s="8">
        <f t="shared" si="127"/>
        <v>43.64</v>
      </c>
      <c r="Q1364" s="10" t="s">
        <v>8320</v>
      </c>
      <c r="R1364" s="10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60</v>
      </c>
      <c r="V1364">
        <f t="shared" si="131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 s="8">
        <f t="shared" si="127"/>
        <v>40</v>
      </c>
      <c r="Q1365" s="10" t="s">
        <v>8320</v>
      </c>
      <c r="R1365" s="10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18</v>
      </c>
      <c r="V1365">
        <f t="shared" si="131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 s="8">
        <f t="shared" si="127"/>
        <v>346.04</v>
      </c>
      <c r="Q1366" s="10" t="s">
        <v>8323</v>
      </c>
      <c r="R1366" s="10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60</v>
      </c>
      <c r="V1366">
        <f t="shared" si="131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 s="8">
        <f t="shared" si="127"/>
        <v>81.739999999999995</v>
      </c>
      <c r="Q1367" s="10" t="s">
        <v>8323</v>
      </c>
      <c r="R1367" s="10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30</v>
      </c>
      <c r="V1367">
        <f t="shared" si="131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 s="8">
        <f t="shared" si="127"/>
        <v>64.540000000000006</v>
      </c>
      <c r="Q1368" s="10" t="s">
        <v>8323</v>
      </c>
      <c r="R1368" s="10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45</v>
      </c>
      <c r="V1368">
        <f t="shared" si="131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 s="8">
        <f t="shared" si="127"/>
        <v>63.48</v>
      </c>
      <c r="Q1369" s="10" t="s">
        <v>8323</v>
      </c>
      <c r="R1369" s="10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30</v>
      </c>
      <c r="V1369">
        <f t="shared" si="131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 s="8">
        <f t="shared" si="127"/>
        <v>63.62</v>
      </c>
      <c r="Q1370" s="10" t="s">
        <v>8323</v>
      </c>
      <c r="R1370" s="1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24</v>
      </c>
      <c r="V1370">
        <f t="shared" si="131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 s="8">
        <f t="shared" si="127"/>
        <v>83.97</v>
      </c>
      <c r="Q1371" s="10" t="s">
        <v>8323</v>
      </c>
      <c r="R1371" s="10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30</v>
      </c>
      <c r="V1371">
        <f t="shared" si="131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 s="8">
        <f t="shared" si="127"/>
        <v>77.75</v>
      </c>
      <c r="Q1372" s="10" t="s">
        <v>8323</v>
      </c>
      <c r="R1372" s="10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15</v>
      </c>
      <c r="V1372">
        <f t="shared" si="131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 s="8">
        <f t="shared" si="127"/>
        <v>107.07</v>
      </c>
      <c r="Q1373" s="10" t="s">
        <v>8323</v>
      </c>
      <c r="R1373" s="10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30</v>
      </c>
      <c r="V1373">
        <f t="shared" si="131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 s="8">
        <f t="shared" si="127"/>
        <v>38.75</v>
      </c>
      <c r="Q1374" s="10" t="s">
        <v>8323</v>
      </c>
      <c r="R1374" s="10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30</v>
      </c>
      <c r="V1374">
        <f t="shared" si="131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 s="8">
        <f t="shared" si="127"/>
        <v>201.94</v>
      </c>
      <c r="Q1375" s="10" t="s">
        <v>8323</v>
      </c>
      <c r="R1375" s="10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30</v>
      </c>
      <c r="V1375">
        <f t="shared" si="131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 s="8">
        <f t="shared" si="127"/>
        <v>43.06</v>
      </c>
      <c r="Q1376" s="10" t="s">
        <v>8323</v>
      </c>
      <c r="R1376" s="10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30</v>
      </c>
      <c r="V1376">
        <f t="shared" si="131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 s="8">
        <f t="shared" si="127"/>
        <v>62.87</v>
      </c>
      <c r="Q1377" s="10" t="s">
        <v>8323</v>
      </c>
      <c r="R1377" s="10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30</v>
      </c>
      <c r="V1377">
        <f t="shared" si="131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 s="8">
        <f t="shared" si="127"/>
        <v>55.61</v>
      </c>
      <c r="Q1378" s="10" t="s">
        <v>8323</v>
      </c>
      <c r="R1378" s="10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30</v>
      </c>
      <c r="V1378">
        <f t="shared" si="131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 s="8">
        <f t="shared" si="127"/>
        <v>48.71</v>
      </c>
      <c r="Q1379" s="10" t="s">
        <v>8323</v>
      </c>
      <c r="R1379" s="10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22</v>
      </c>
      <c r="V1379">
        <f t="shared" si="131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 s="8">
        <f t="shared" si="127"/>
        <v>30.58</v>
      </c>
      <c r="Q1380" s="10" t="s">
        <v>8323</v>
      </c>
      <c r="R1380" s="1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15</v>
      </c>
      <c r="V1380">
        <f t="shared" si="131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 s="8">
        <f t="shared" si="127"/>
        <v>73.91</v>
      </c>
      <c r="Q1381" s="10" t="s">
        <v>8323</v>
      </c>
      <c r="R1381" s="10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30</v>
      </c>
      <c r="V1381">
        <f t="shared" si="131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 s="8">
        <f t="shared" si="127"/>
        <v>21.2</v>
      </c>
      <c r="Q1382" s="10" t="s">
        <v>8323</v>
      </c>
      <c r="R1382" s="10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22</v>
      </c>
      <c r="V1382">
        <f t="shared" si="131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 s="8">
        <f t="shared" si="127"/>
        <v>73.36</v>
      </c>
      <c r="Q1383" s="10" t="s">
        <v>8323</v>
      </c>
      <c r="R1383" s="10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30</v>
      </c>
      <c r="V1383">
        <f t="shared" si="131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 s="8">
        <f t="shared" si="127"/>
        <v>56.41</v>
      </c>
      <c r="Q1384" s="10" t="s">
        <v>8323</v>
      </c>
      <c r="R1384" s="10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30</v>
      </c>
      <c r="V1384">
        <f t="shared" si="131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 s="8">
        <f t="shared" si="127"/>
        <v>50.25</v>
      </c>
      <c r="Q1385" s="10" t="s">
        <v>8323</v>
      </c>
      <c r="R1385" s="10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</v>
      </c>
      <c r="V1385">
        <f t="shared" si="131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 s="8">
        <f t="shared" si="127"/>
        <v>68.94</v>
      </c>
      <c r="Q1386" s="10" t="s">
        <v>8323</v>
      </c>
      <c r="R1386" s="10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30</v>
      </c>
      <c r="V1386">
        <f t="shared" si="131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 s="8">
        <f t="shared" si="127"/>
        <v>65.91</v>
      </c>
      <c r="Q1387" s="10" t="s">
        <v>8323</v>
      </c>
      <c r="R1387" s="10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56</v>
      </c>
      <c r="V1387">
        <f t="shared" si="131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 s="8">
        <f t="shared" si="127"/>
        <v>62.5</v>
      </c>
      <c r="Q1388" s="10" t="s">
        <v>8323</v>
      </c>
      <c r="R1388" s="10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30</v>
      </c>
      <c r="V1388">
        <f t="shared" si="131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 s="8">
        <f t="shared" si="127"/>
        <v>70.06</v>
      </c>
      <c r="Q1389" s="10" t="s">
        <v>8323</v>
      </c>
      <c r="R1389" s="10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31</v>
      </c>
      <c r="V1389">
        <f t="shared" si="131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 s="8">
        <f t="shared" si="127"/>
        <v>60.18</v>
      </c>
      <c r="Q1390" s="10" t="s">
        <v>8323</v>
      </c>
      <c r="R1390" s="1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26</v>
      </c>
      <c r="V1390">
        <f t="shared" si="131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 s="8">
        <f t="shared" si="127"/>
        <v>21.38</v>
      </c>
      <c r="Q1391" s="10" t="s">
        <v>8323</v>
      </c>
      <c r="R1391" s="10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30</v>
      </c>
      <c r="V1391">
        <f t="shared" si="131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 s="8">
        <f t="shared" si="127"/>
        <v>160.79</v>
      </c>
      <c r="Q1392" s="10" t="s">
        <v>8323</v>
      </c>
      <c r="R1392" s="10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34</v>
      </c>
      <c r="V1392">
        <f t="shared" si="131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 s="8">
        <f t="shared" si="127"/>
        <v>42.38</v>
      </c>
      <c r="Q1393" s="10" t="s">
        <v>8323</v>
      </c>
      <c r="R1393" s="10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45</v>
      </c>
      <c r="V1393">
        <f t="shared" si="131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 s="8">
        <f t="shared" si="127"/>
        <v>27.32</v>
      </c>
      <c r="Q1394" s="10" t="s">
        <v>8323</v>
      </c>
      <c r="R1394" s="10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31</v>
      </c>
      <c r="V1394">
        <f t="shared" si="131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 s="8">
        <f t="shared" si="127"/>
        <v>196.83</v>
      </c>
      <c r="Q1395" s="10" t="s">
        <v>8323</v>
      </c>
      <c r="R1395" s="10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30</v>
      </c>
      <c r="V1395">
        <f t="shared" si="131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 s="8">
        <f t="shared" si="127"/>
        <v>53.88</v>
      </c>
      <c r="Q1396" s="10" t="s">
        <v>8323</v>
      </c>
      <c r="R1396" s="10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43</v>
      </c>
      <c r="V1396">
        <f t="shared" si="131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 s="8">
        <f t="shared" si="127"/>
        <v>47.76</v>
      </c>
      <c r="Q1397" s="10" t="s">
        <v>8323</v>
      </c>
      <c r="R1397" s="10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30</v>
      </c>
      <c r="V1397">
        <f t="shared" si="131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 s="8">
        <f t="shared" si="127"/>
        <v>88.19</v>
      </c>
      <c r="Q1398" s="10" t="s">
        <v>8323</v>
      </c>
      <c r="R1398" s="10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30</v>
      </c>
      <c r="V1398">
        <f t="shared" si="131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 s="8">
        <f t="shared" si="127"/>
        <v>72.06</v>
      </c>
      <c r="Q1399" s="10" t="s">
        <v>8323</v>
      </c>
      <c r="R1399" s="10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30</v>
      </c>
      <c r="V1399">
        <f t="shared" si="131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 s="8">
        <f t="shared" si="127"/>
        <v>74.25</v>
      </c>
      <c r="Q1400" s="10" t="s">
        <v>8323</v>
      </c>
      <c r="R1400" s="1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30</v>
      </c>
      <c r="V1400">
        <f t="shared" si="131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 s="8">
        <f t="shared" si="127"/>
        <v>61.7</v>
      </c>
      <c r="Q1401" s="10" t="s">
        <v>8323</v>
      </c>
      <c r="R1401" s="10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30</v>
      </c>
      <c r="V1401">
        <f t="shared" si="131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 s="8">
        <f t="shared" si="127"/>
        <v>17.239999999999998</v>
      </c>
      <c r="Q1402" s="10" t="s">
        <v>8323</v>
      </c>
      <c r="R1402" s="10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35</v>
      </c>
      <c r="V1402">
        <f t="shared" si="131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 s="8">
        <f t="shared" si="127"/>
        <v>51.72</v>
      </c>
      <c r="Q1403" s="10" t="s">
        <v>8323</v>
      </c>
      <c r="R1403" s="10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21</v>
      </c>
      <c r="V1403">
        <f t="shared" si="131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 s="8">
        <f t="shared" si="127"/>
        <v>24.15</v>
      </c>
      <c r="Q1404" s="10" t="s">
        <v>8323</v>
      </c>
      <c r="R1404" s="10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60</v>
      </c>
      <c r="V1404">
        <f t="shared" si="131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 s="8">
        <f t="shared" si="127"/>
        <v>62.17</v>
      </c>
      <c r="Q1405" s="10" t="s">
        <v>8323</v>
      </c>
      <c r="R1405" s="10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30</v>
      </c>
      <c r="V1405">
        <f t="shared" si="131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 s="8">
        <f t="shared" si="127"/>
        <v>48.2</v>
      </c>
      <c r="Q1406" s="10" t="s">
        <v>8320</v>
      </c>
      <c r="R1406" s="10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25</v>
      </c>
      <c r="V1406">
        <f t="shared" si="131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 s="8">
        <f t="shared" si="127"/>
        <v>6.18</v>
      </c>
      <c r="Q1407" s="10" t="s">
        <v>8320</v>
      </c>
      <c r="R1407" s="10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30</v>
      </c>
      <c r="V1407">
        <f t="shared" si="131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 s="8">
        <f t="shared" si="127"/>
        <v>5</v>
      </c>
      <c r="Q1408" s="10" t="s">
        <v>8320</v>
      </c>
      <c r="R1408" s="10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53</v>
      </c>
      <c r="V1408">
        <f t="shared" si="131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 s="8">
        <f t="shared" si="127"/>
        <v>7.5</v>
      </c>
      <c r="Q1409" s="10" t="s">
        <v>8320</v>
      </c>
      <c r="R1409" s="10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25</v>
      </c>
      <c r="V1409">
        <f t="shared" si="131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ROUND((E1410/D1410)*100, 0)</f>
        <v>7</v>
      </c>
      <c r="P1410" s="8">
        <f t="shared" ref="P1410:P1473" si="133">IFERROR(ROUND(E1410/L1410, 2), 0)</f>
        <v>12</v>
      </c>
      <c r="Q1410" s="10" t="s">
        <v>8320</v>
      </c>
      <c r="R1410" s="10" t="s">
        <v>8339</v>
      </c>
      <c r="S1410" s="16">
        <f t="shared" ref="S1410:S1473" si="134">(J1410/60/60/24)+DATE(1970, 1, 1)</f>
        <v>42291.872175925921</v>
      </c>
      <c r="T1410" s="16">
        <f t="shared" ref="T1410:T1473" si="135">(I1410/60/60/24)+DATE(1970, 1, 1)</f>
        <v>42321.913842592592</v>
      </c>
      <c r="U1410">
        <f t="shared" si="130"/>
        <v>30</v>
      </c>
      <c r="V1410">
        <f t="shared" si="131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 s="8">
        <f t="shared" si="133"/>
        <v>0</v>
      </c>
      <c r="Q1411" s="10" t="s">
        <v>8320</v>
      </c>
      <c r="R1411" s="10" t="s">
        <v>8339</v>
      </c>
      <c r="S1411" s="16">
        <f t="shared" si="134"/>
        <v>41945.133506944447</v>
      </c>
      <c r="T1411" s="16">
        <f t="shared" si="135"/>
        <v>42005.175173611111</v>
      </c>
      <c r="U1411">
        <f t="shared" ref="U1411:U1474" si="136">ROUND(T1411-S1411, 0)</f>
        <v>60</v>
      </c>
      <c r="V1411">
        <f t="shared" ref="V1411:V1474" si="137">YEAR($S1411)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 s="8">
        <f t="shared" si="133"/>
        <v>1</v>
      </c>
      <c r="Q1412" s="10" t="s">
        <v>8320</v>
      </c>
      <c r="R1412" s="10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45</v>
      </c>
      <c r="V1412">
        <f t="shared" si="137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 s="8">
        <f t="shared" si="133"/>
        <v>2.33</v>
      </c>
      <c r="Q1413" s="10" t="s">
        <v>8320</v>
      </c>
      <c r="R1413" s="10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28</v>
      </c>
      <c r="V1413">
        <f t="shared" si="137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 s="8">
        <f t="shared" si="133"/>
        <v>24.62</v>
      </c>
      <c r="Q1414" s="10" t="s">
        <v>8320</v>
      </c>
      <c r="R1414" s="10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30</v>
      </c>
      <c r="V1414">
        <f t="shared" si="137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 s="8">
        <f t="shared" si="133"/>
        <v>100</v>
      </c>
      <c r="Q1415" s="10" t="s">
        <v>8320</v>
      </c>
      <c r="R1415" s="10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60</v>
      </c>
      <c r="V1415">
        <f t="shared" si="137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 s="8">
        <f t="shared" si="133"/>
        <v>1</v>
      </c>
      <c r="Q1416" s="10" t="s">
        <v>8320</v>
      </c>
      <c r="R1416" s="10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30</v>
      </c>
      <c r="V1416">
        <f t="shared" si="137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 s="8">
        <f t="shared" si="133"/>
        <v>88.89</v>
      </c>
      <c r="Q1417" s="10" t="s">
        <v>8320</v>
      </c>
      <c r="R1417" s="10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40</v>
      </c>
      <c r="V1417">
        <f t="shared" si="137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 s="8">
        <f t="shared" si="133"/>
        <v>0</v>
      </c>
      <c r="Q1418" s="10" t="s">
        <v>8320</v>
      </c>
      <c r="R1418" s="10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30</v>
      </c>
      <c r="V1418">
        <f t="shared" si="137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 s="8">
        <f t="shared" si="133"/>
        <v>27.5</v>
      </c>
      <c r="Q1419" s="10" t="s">
        <v>8320</v>
      </c>
      <c r="R1419" s="10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30</v>
      </c>
      <c r="V1419">
        <f t="shared" si="137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 s="8">
        <f t="shared" si="133"/>
        <v>6</v>
      </c>
      <c r="Q1420" s="10" t="s">
        <v>8320</v>
      </c>
      <c r="R1420" s="1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30</v>
      </c>
      <c r="V1420">
        <f t="shared" si="137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 s="8">
        <f t="shared" si="133"/>
        <v>44.5</v>
      </c>
      <c r="Q1421" s="10" t="s">
        <v>8320</v>
      </c>
      <c r="R1421" s="10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30</v>
      </c>
      <c r="V1421">
        <f t="shared" si="137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 s="8">
        <f t="shared" si="133"/>
        <v>1</v>
      </c>
      <c r="Q1422" s="10" t="s">
        <v>8320</v>
      </c>
      <c r="R1422" s="10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25</v>
      </c>
      <c r="V1422">
        <f t="shared" si="137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 s="8">
        <f t="shared" si="133"/>
        <v>100</v>
      </c>
      <c r="Q1423" s="10" t="s">
        <v>8320</v>
      </c>
      <c r="R1423" s="10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30</v>
      </c>
      <c r="V1423">
        <f t="shared" si="137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 s="8">
        <f t="shared" si="133"/>
        <v>13</v>
      </c>
      <c r="Q1424" s="10" t="s">
        <v>8320</v>
      </c>
      <c r="R1424" s="10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30</v>
      </c>
      <c r="V1424">
        <f t="shared" si="137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 s="8">
        <f t="shared" si="133"/>
        <v>100</v>
      </c>
      <c r="Q1425" s="10" t="s">
        <v>8320</v>
      </c>
      <c r="R1425" s="10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30</v>
      </c>
      <c r="V1425">
        <f t="shared" si="137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 s="8">
        <f t="shared" si="133"/>
        <v>109.07</v>
      </c>
      <c r="Q1426" s="10" t="s">
        <v>8320</v>
      </c>
      <c r="R1426" s="10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13</v>
      </c>
      <c r="V1426">
        <f t="shared" si="137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 s="8">
        <f t="shared" si="133"/>
        <v>0</v>
      </c>
      <c r="Q1427" s="10" t="s">
        <v>8320</v>
      </c>
      <c r="R1427" s="10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30</v>
      </c>
      <c r="V1427">
        <f t="shared" si="137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 s="8">
        <f t="shared" si="133"/>
        <v>0</v>
      </c>
      <c r="Q1428" s="10" t="s">
        <v>8320</v>
      </c>
      <c r="R1428" s="10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60</v>
      </c>
      <c r="V1428">
        <f t="shared" si="137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 s="8">
        <f t="shared" si="133"/>
        <v>104.75</v>
      </c>
      <c r="Q1429" s="10" t="s">
        <v>8320</v>
      </c>
      <c r="R1429" s="10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30</v>
      </c>
      <c r="V1429">
        <f t="shared" si="137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 s="8">
        <f t="shared" si="133"/>
        <v>15</v>
      </c>
      <c r="Q1430" s="10" t="s">
        <v>8320</v>
      </c>
      <c r="R1430" s="1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30</v>
      </c>
      <c r="V1430">
        <f t="shared" si="137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 s="8">
        <f t="shared" si="133"/>
        <v>0</v>
      </c>
      <c r="Q1431" s="10" t="s">
        <v>8320</v>
      </c>
      <c r="R1431" s="10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30</v>
      </c>
      <c r="V1431">
        <f t="shared" si="137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 s="8">
        <f t="shared" si="133"/>
        <v>80.599999999999994</v>
      </c>
      <c r="Q1432" s="10" t="s">
        <v>8320</v>
      </c>
      <c r="R1432" s="10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31</v>
      </c>
      <c r="V1432">
        <f t="shared" si="137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 s="8">
        <f t="shared" si="133"/>
        <v>115.55</v>
      </c>
      <c r="Q1433" s="10" t="s">
        <v>8320</v>
      </c>
      <c r="R1433" s="10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30</v>
      </c>
      <c r="V1433">
        <f t="shared" si="137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 s="8">
        <f t="shared" si="133"/>
        <v>0</v>
      </c>
      <c r="Q1434" s="10" t="s">
        <v>8320</v>
      </c>
      <c r="R1434" s="10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30</v>
      </c>
      <c r="V1434">
        <f t="shared" si="137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 s="8">
        <f t="shared" si="133"/>
        <v>80.5</v>
      </c>
      <c r="Q1435" s="10" t="s">
        <v>8320</v>
      </c>
      <c r="R1435" s="10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41</v>
      </c>
      <c r="V1435">
        <f t="shared" si="137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 s="8">
        <f t="shared" si="133"/>
        <v>744.55</v>
      </c>
      <c r="Q1436" s="10" t="s">
        <v>8320</v>
      </c>
      <c r="R1436" s="10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21</v>
      </c>
      <c r="V1436">
        <f t="shared" si="137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 s="8">
        <f t="shared" si="133"/>
        <v>7.5</v>
      </c>
      <c r="Q1437" s="10" t="s">
        <v>8320</v>
      </c>
      <c r="R1437" s="10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30</v>
      </c>
      <c r="V1437">
        <f t="shared" si="137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 s="8">
        <f t="shared" si="133"/>
        <v>38.5</v>
      </c>
      <c r="Q1438" s="10" t="s">
        <v>8320</v>
      </c>
      <c r="R1438" s="10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30</v>
      </c>
      <c r="V1438">
        <f t="shared" si="137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 s="8">
        <f t="shared" si="133"/>
        <v>36.68</v>
      </c>
      <c r="Q1439" s="10" t="s">
        <v>8320</v>
      </c>
      <c r="R1439" s="10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37</v>
      </c>
      <c r="V1439">
        <f t="shared" si="137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 s="8">
        <f t="shared" si="133"/>
        <v>75</v>
      </c>
      <c r="Q1440" s="10" t="s">
        <v>8320</v>
      </c>
      <c r="R1440" s="1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30</v>
      </c>
      <c r="V1440">
        <f t="shared" si="137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 s="8">
        <f t="shared" si="133"/>
        <v>30</v>
      </c>
      <c r="Q1441" s="10" t="s">
        <v>8320</v>
      </c>
      <c r="R1441" s="10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30</v>
      </c>
      <c r="V1441">
        <f t="shared" si="137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 s="8">
        <f t="shared" si="133"/>
        <v>1</v>
      </c>
      <c r="Q1442" s="10" t="s">
        <v>8320</v>
      </c>
      <c r="R1442" s="10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30</v>
      </c>
      <c r="V1442">
        <f t="shared" si="137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 s="8">
        <f t="shared" si="133"/>
        <v>673.33</v>
      </c>
      <c r="Q1443" s="10" t="s">
        <v>8320</v>
      </c>
      <c r="R1443" s="10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60</v>
      </c>
      <c r="V1443">
        <f t="shared" si="137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 s="8">
        <f t="shared" si="133"/>
        <v>0</v>
      </c>
      <c r="Q1444" s="10" t="s">
        <v>8320</v>
      </c>
      <c r="R1444" s="10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30</v>
      </c>
      <c r="V1444">
        <f t="shared" si="137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 s="8">
        <f t="shared" si="133"/>
        <v>0</v>
      </c>
      <c r="Q1445" s="10" t="s">
        <v>8320</v>
      </c>
      <c r="R1445" s="10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30</v>
      </c>
      <c r="V1445">
        <f t="shared" si="137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 s="8">
        <f t="shared" si="133"/>
        <v>0</v>
      </c>
      <c r="Q1446" s="10" t="s">
        <v>8320</v>
      </c>
      <c r="R1446" s="10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60</v>
      </c>
      <c r="V1446">
        <f t="shared" si="137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 s="8">
        <f t="shared" si="133"/>
        <v>0</v>
      </c>
      <c r="Q1447" s="10" t="s">
        <v>8320</v>
      </c>
      <c r="R1447" s="10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30</v>
      </c>
      <c r="V1447">
        <f t="shared" si="137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 s="8">
        <f t="shared" si="133"/>
        <v>0</v>
      </c>
      <c r="Q1448" s="10" t="s">
        <v>8320</v>
      </c>
      <c r="R1448" s="10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</v>
      </c>
      <c r="V1448">
        <f t="shared" si="137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 s="8">
        <f t="shared" si="133"/>
        <v>25</v>
      </c>
      <c r="Q1449" s="10" t="s">
        <v>8320</v>
      </c>
      <c r="R1449" s="10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30</v>
      </c>
      <c r="V1449">
        <f t="shared" si="137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 s="8">
        <f t="shared" si="133"/>
        <v>0</v>
      </c>
      <c r="Q1450" s="10" t="s">
        <v>8320</v>
      </c>
      <c r="R1450" s="1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30</v>
      </c>
      <c r="V1450">
        <f t="shared" si="137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 s="8">
        <f t="shared" si="133"/>
        <v>0</v>
      </c>
      <c r="Q1451" s="10" t="s">
        <v>8320</v>
      </c>
      <c r="R1451" s="10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48</v>
      </c>
      <c r="V1451">
        <f t="shared" si="137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 s="8">
        <f t="shared" si="133"/>
        <v>1</v>
      </c>
      <c r="Q1452" s="10" t="s">
        <v>8320</v>
      </c>
      <c r="R1452" s="10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30</v>
      </c>
      <c r="V1452">
        <f t="shared" si="137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 s="8">
        <f t="shared" si="133"/>
        <v>1</v>
      </c>
      <c r="Q1453" s="10" t="s">
        <v>8320</v>
      </c>
      <c r="R1453" s="10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30</v>
      </c>
      <c r="V1453">
        <f t="shared" si="137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 s="8">
        <f t="shared" si="133"/>
        <v>0</v>
      </c>
      <c r="Q1454" s="10" t="s">
        <v>8320</v>
      </c>
      <c r="R1454" s="10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30</v>
      </c>
      <c r="V1454">
        <f t="shared" si="137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 s="8">
        <f t="shared" si="133"/>
        <v>0</v>
      </c>
      <c r="Q1455" s="10" t="s">
        <v>8320</v>
      </c>
      <c r="R1455" s="10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45</v>
      </c>
      <c r="V1455">
        <f t="shared" si="137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 s="8">
        <f t="shared" si="133"/>
        <v>15</v>
      </c>
      <c r="Q1456" s="10" t="s">
        <v>8320</v>
      </c>
      <c r="R1456" s="10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21</v>
      </c>
      <c r="V1456">
        <f t="shared" si="137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 s="8">
        <f t="shared" si="133"/>
        <v>225</v>
      </c>
      <c r="Q1457" s="10" t="s">
        <v>8320</v>
      </c>
      <c r="R1457" s="10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55</v>
      </c>
      <c r="V1457">
        <f t="shared" si="137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 s="8">
        <f t="shared" si="133"/>
        <v>48.33</v>
      </c>
      <c r="Q1458" s="10" t="s">
        <v>8320</v>
      </c>
      <c r="R1458" s="10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30</v>
      </c>
      <c r="V1458">
        <f t="shared" si="137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 s="8">
        <f t="shared" si="133"/>
        <v>0</v>
      </c>
      <c r="Q1459" s="10" t="s">
        <v>8320</v>
      </c>
      <c r="R1459" s="10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30</v>
      </c>
      <c r="V1459">
        <f t="shared" si="137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 s="8">
        <f t="shared" si="133"/>
        <v>0</v>
      </c>
      <c r="Q1460" s="10" t="s">
        <v>8320</v>
      </c>
      <c r="R1460" s="1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30</v>
      </c>
      <c r="V1460">
        <f t="shared" si="137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 s="8">
        <f t="shared" si="133"/>
        <v>0</v>
      </c>
      <c r="Q1461" s="10" t="s">
        <v>8320</v>
      </c>
      <c r="R1461" s="10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29</v>
      </c>
      <c r="V1461">
        <f t="shared" si="137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 s="8">
        <f t="shared" si="133"/>
        <v>0</v>
      </c>
      <c r="Q1462" s="10" t="s">
        <v>8320</v>
      </c>
      <c r="R1462" s="10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58</v>
      </c>
      <c r="V1462">
        <f t="shared" si="137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 s="8">
        <f t="shared" si="133"/>
        <v>44.67</v>
      </c>
      <c r="Q1463" s="10" t="s">
        <v>8320</v>
      </c>
      <c r="R1463" s="10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33</v>
      </c>
      <c r="V1463">
        <f t="shared" si="137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 s="8">
        <f t="shared" si="133"/>
        <v>28.94</v>
      </c>
      <c r="Q1464" s="10" t="s">
        <v>8320</v>
      </c>
      <c r="R1464" s="10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30</v>
      </c>
      <c r="V1464">
        <f t="shared" si="137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 s="8">
        <f t="shared" si="133"/>
        <v>35.44</v>
      </c>
      <c r="Q1465" s="10" t="s">
        <v>8320</v>
      </c>
      <c r="R1465" s="10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45</v>
      </c>
      <c r="V1465">
        <f t="shared" si="137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 s="8">
        <f t="shared" si="133"/>
        <v>34.869999999999997</v>
      </c>
      <c r="Q1466" s="10" t="s">
        <v>8320</v>
      </c>
      <c r="R1466" s="10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30</v>
      </c>
      <c r="V1466">
        <f t="shared" si="137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 s="8">
        <f t="shared" si="133"/>
        <v>52.62</v>
      </c>
      <c r="Q1467" s="10" t="s">
        <v>8320</v>
      </c>
      <c r="R1467" s="10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30</v>
      </c>
      <c r="V1467">
        <f t="shared" si="137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 s="8">
        <f t="shared" si="133"/>
        <v>69.599999999999994</v>
      </c>
      <c r="Q1468" s="10" t="s">
        <v>8320</v>
      </c>
      <c r="R1468" s="10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41</v>
      </c>
      <c r="V1468">
        <f t="shared" si="137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 s="8">
        <f t="shared" si="133"/>
        <v>76.72</v>
      </c>
      <c r="Q1469" s="10" t="s">
        <v>8320</v>
      </c>
      <c r="R1469" s="10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60</v>
      </c>
      <c r="V1469">
        <f t="shared" si="137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 s="8">
        <f t="shared" si="133"/>
        <v>33.19</v>
      </c>
      <c r="Q1470" s="10" t="s">
        <v>8320</v>
      </c>
      <c r="R1470" s="1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60</v>
      </c>
      <c r="V1470">
        <f t="shared" si="137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 s="8">
        <f t="shared" si="133"/>
        <v>149.46</v>
      </c>
      <c r="Q1471" s="10" t="s">
        <v>8320</v>
      </c>
      <c r="R1471" s="10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30</v>
      </c>
      <c r="V1471">
        <f t="shared" si="137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 s="8">
        <f t="shared" si="133"/>
        <v>23.17</v>
      </c>
      <c r="Q1472" s="10" t="s">
        <v>8320</v>
      </c>
      <c r="R1472" s="10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21</v>
      </c>
      <c r="V1472">
        <f t="shared" si="137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 s="8">
        <f t="shared" si="133"/>
        <v>96.88</v>
      </c>
      <c r="Q1473" s="10" t="s">
        <v>8320</v>
      </c>
      <c r="R1473" s="10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30</v>
      </c>
      <c r="V1473">
        <f t="shared" si="137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ROUND((E1474/D1474)*100, 0)</f>
        <v>139</v>
      </c>
      <c r="P1474" s="8">
        <f t="shared" ref="P1474:P1537" si="139">IFERROR(ROUND(E1474/L1474, 2), 0)</f>
        <v>103.2</v>
      </c>
      <c r="Q1474" s="10" t="s">
        <v>8320</v>
      </c>
      <c r="R1474" s="10" t="s">
        <v>8340</v>
      </c>
      <c r="S1474" s="16">
        <f t="shared" ref="S1474:S1537" si="140">(J1474/60/60/24)+DATE(1970, 1, 1)</f>
        <v>41533.542858796296</v>
      </c>
      <c r="T1474" s="16">
        <f t="shared" ref="T1474:T1537" si="141">(I1474/60/60/24)+DATE(1970, 1, 1)</f>
        <v>41563.542858796296</v>
      </c>
      <c r="U1474">
        <f t="shared" si="136"/>
        <v>30</v>
      </c>
      <c r="V1474">
        <f t="shared" si="137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 s="8">
        <f t="shared" si="139"/>
        <v>38.46</v>
      </c>
      <c r="Q1475" s="10" t="s">
        <v>8320</v>
      </c>
      <c r="R1475" s="10" t="s">
        <v>8340</v>
      </c>
      <c r="S1475" s="16">
        <f t="shared" si="140"/>
        <v>40939.979618055557</v>
      </c>
      <c r="T1475" s="16">
        <f t="shared" si="141"/>
        <v>40969.979618055557</v>
      </c>
      <c r="U1475">
        <f t="shared" ref="U1475:U1538" si="142">ROUND(T1475-S1475, 0)</f>
        <v>30</v>
      </c>
      <c r="V1475">
        <f t="shared" ref="V1475:V1538" si="143">YEAR($S1475)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 s="8">
        <f t="shared" si="139"/>
        <v>44.32</v>
      </c>
      <c r="Q1476" s="10" t="s">
        <v>8320</v>
      </c>
      <c r="R1476" s="10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30</v>
      </c>
      <c r="V1476">
        <f t="shared" si="143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 s="8">
        <f t="shared" si="139"/>
        <v>64.17</v>
      </c>
      <c r="Q1477" s="10" t="s">
        <v>8320</v>
      </c>
      <c r="R1477" s="10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32</v>
      </c>
      <c r="V1477">
        <f t="shared" si="143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 s="8">
        <f t="shared" si="139"/>
        <v>43.33</v>
      </c>
      <c r="Q1478" s="10" t="s">
        <v>8320</v>
      </c>
      <c r="R1478" s="10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30</v>
      </c>
      <c r="V1478">
        <f t="shared" si="143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 s="8">
        <f t="shared" si="139"/>
        <v>90.5</v>
      </c>
      <c r="Q1479" s="10" t="s">
        <v>8320</v>
      </c>
      <c r="R1479" s="10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60</v>
      </c>
      <c r="V1479">
        <f t="shared" si="143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 s="8">
        <f t="shared" si="139"/>
        <v>29.19</v>
      </c>
      <c r="Q1480" s="10" t="s">
        <v>8320</v>
      </c>
      <c r="R1480" s="1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14</v>
      </c>
      <c r="V1480">
        <f t="shared" si="143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 s="8">
        <f t="shared" si="139"/>
        <v>30.96</v>
      </c>
      <c r="Q1481" s="10" t="s">
        <v>8320</v>
      </c>
      <c r="R1481" s="10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14</v>
      </c>
      <c r="V1481">
        <f t="shared" si="143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 s="8">
        <f t="shared" si="139"/>
        <v>92.16</v>
      </c>
      <c r="Q1482" s="10" t="s">
        <v>8320</v>
      </c>
      <c r="R1482" s="10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17</v>
      </c>
      <c r="V1482">
        <f t="shared" si="143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 s="8">
        <f t="shared" si="139"/>
        <v>17.5</v>
      </c>
      <c r="Q1483" s="10" t="s">
        <v>8320</v>
      </c>
      <c r="R1483" s="10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30</v>
      </c>
      <c r="V1483">
        <f t="shared" si="143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 s="8">
        <f t="shared" si="139"/>
        <v>5</v>
      </c>
      <c r="Q1484" s="10" t="s">
        <v>8320</v>
      </c>
      <c r="R1484" s="10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22</v>
      </c>
      <c r="V1484">
        <f t="shared" si="143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 s="8">
        <f t="shared" si="139"/>
        <v>25</v>
      </c>
      <c r="Q1485" s="10" t="s">
        <v>8320</v>
      </c>
      <c r="R1485" s="10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25</v>
      </c>
      <c r="V1485">
        <f t="shared" si="143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 s="8">
        <f t="shared" si="139"/>
        <v>0</v>
      </c>
      <c r="Q1486" s="10" t="s">
        <v>8320</v>
      </c>
      <c r="R1486" s="10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58</v>
      </c>
      <c r="V1486">
        <f t="shared" si="143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 s="8">
        <f t="shared" si="139"/>
        <v>50</v>
      </c>
      <c r="Q1487" s="10" t="s">
        <v>8320</v>
      </c>
      <c r="R1487" s="10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45</v>
      </c>
      <c r="V1487">
        <f t="shared" si="143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 s="8">
        <f t="shared" si="139"/>
        <v>16</v>
      </c>
      <c r="Q1488" s="10" t="s">
        <v>8320</v>
      </c>
      <c r="R1488" s="10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30</v>
      </c>
      <c r="V1488">
        <f t="shared" si="143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 s="8">
        <f t="shared" si="139"/>
        <v>0</v>
      </c>
      <c r="Q1489" s="10" t="s">
        <v>8320</v>
      </c>
      <c r="R1489" s="10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30</v>
      </c>
      <c r="V1489">
        <f t="shared" si="143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 s="8">
        <f t="shared" si="139"/>
        <v>60</v>
      </c>
      <c r="Q1490" s="10" t="s">
        <v>8320</v>
      </c>
      <c r="R1490" s="1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30</v>
      </c>
      <c r="V1490">
        <f t="shared" si="143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 s="8">
        <f t="shared" si="139"/>
        <v>0</v>
      </c>
      <c r="Q1491" s="10" t="s">
        <v>8320</v>
      </c>
      <c r="R1491" s="10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30</v>
      </c>
      <c r="V1491">
        <f t="shared" si="143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 s="8">
        <f t="shared" si="139"/>
        <v>47.11</v>
      </c>
      <c r="Q1492" s="10" t="s">
        <v>8320</v>
      </c>
      <c r="R1492" s="10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29</v>
      </c>
      <c r="V1492">
        <f t="shared" si="143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 s="8">
        <f t="shared" si="139"/>
        <v>100</v>
      </c>
      <c r="Q1493" s="10" t="s">
        <v>8320</v>
      </c>
      <c r="R1493" s="10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59</v>
      </c>
      <c r="V1493">
        <f t="shared" si="143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 s="8">
        <f t="shared" si="139"/>
        <v>15</v>
      </c>
      <c r="Q1494" s="10" t="s">
        <v>8320</v>
      </c>
      <c r="R1494" s="10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30</v>
      </c>
      <c r="V1494">
        <f t="shared" si="143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 s="8">
        <f t="shared" si="139"/>
        <v>0</v>
      </c>
      <c r="Q1495" s="10" t="s">
        <v>8320</v>
      </c>
      <c r="R1495" s="10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30</v>
      </c>
      <c r="V1495">
        <f t="shared" si="143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 s="8">
        <f t="shared" si="139"/>
        <v>40.450000000000003</v>
      </c>
      <c r="Q1496" s="10" t="s">
        <v>8320</v>
      </c>
      <c r="R1496" s="10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30</v>
      </c>
      <c r="V1496">
        <f t="shared" si="143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 s="8">
        <f t="shared" si="139"/>
        <v>0</v>
      </c>
      <c r="Q1497" s="10" t="s">
        <v>8320</v>
      </c>
      <c r="R1497" s="10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30</v>
      </c>
      <c r="V1497">
        <f t="shared" si="143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 s="8">
        <f t="shared" si="139"/>
        <v>0</v>
      </c>
      <c r="Q1498" s="10" t="s">
        <v>8320</v>
      </c>
      <c r="R1498" s="10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60</v>
      </c>
      <c r="V1498">
        <f t="shared" si="143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 s="8">
        <f t="shared" si="139"/>
        <v>1</v>
      </c>
      <c r="Q1499" s="10" t="s">
        <v>8320</v>
      </c>
      <c r="R1499" s="10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42</v>
      </c>
      <c r="V1499">
        <f t="shared" si="143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 s="8">
        <f t="shared" si="139"/>
        <v>19</v>
      </c>
      <c r="Q1500" s="10" t="s">
        <v>8320</v>
      </c>
      <c r="R1500" s="1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45</v>
      </c>
      <c r="V1500">
        <f t="shared" si="143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 s="8">
        <f t="shared" si="139"/>
        <v>5</v>
      </c>
      <c r="Q1501" s="10" t="s">
        <v>8320</v>
      </c>
      <c r="R1501" s="10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60</v>
      </c>
      <c r="V1501">
        <f t="shared" si="143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 s="8">
        <f t="shared" si="139"/>
        <v>46.73</v>
      </c>
      <c r="Q1502" s="10" t="s">
        <v>8320</v>
      </c>
      <c r="R1502" s="10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30</v>
      </c>
      <c r="V1502">
        <f t="shared" si="143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 s="8">
        <f t="shared" si="139"/>
        <v>97.73</v>
      </c>
      <c r="Q1503" s="10" t="s">
        <v>8336</v>
      </c>
      <c r="R1503" s="10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30</v>
      </c>
      <c r="V1503">
        <f t="shared" si="143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 s="8">
        <f t="shared" si="139"/>
        <v>67.84</v>
      </c>
      <c r="Q1504" s="10" t="s">
        <v>8336</v>
      </c>
      <c r="R1504" s="10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28</v>
      </c>
      <c r="V1504">
        <f t="shared" si="143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 s="8">
        <f t="shared" si="139"/>
        <v>56.98</v>
      </c>
      <c r="Q1505" s="10" t="s">
        <v>8336</v>
      </c>
      <c r="R1505" s="10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60</v>
      </c>
      <c r="V1505">
        <f t="shared" si="143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 s="8">
        <f t="shared" si="139"/>
        <v>67.16</v>
      </c>
      <c r="Q1506" s="10" t="s">
        <v>8336</v>
      </c>
      <c r="R1506" s="10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28</v>
      </c>
      <c r="V1506">
        <f t="shared" si="143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 s="8">
        <f t="shared" si="139"/>
        <v>48.04</v>
      </c>
      <c r="Q1507" s="10" t="s">
        <v>8336</v>
      </c>
      <c r="R1507" s="10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37</v>
      </c>
      <c r="V1507">
        <f t="shared" si="143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 s="8">
        <f t="shared" si="139"/>
        <v>38.86</v>
      </c>
      <c r="Q1508" s="10" t="s">
        <v>8336</v>
      </c>
      <c r="R1508" s="10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30</v>
      </c>
      <c r="V1508">
        <f t="shared" si="143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 s="8">
        <f t="shared" si="139"/>
        <v>78.180000000000007</v>
      </c>
      <c r="Q1509" s="10" t="s">
        <v>8336</v>
      </c>
      <c r="R1509" s="10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59</v>
      </c>
      <c r="V1509">
        <f t="shared" si="143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 s="8">
        <f t="shared" si="139"/>
        <v>97.11</v>
      </c>
      <c r="Q1510" s="10" t="s">
        <v>8336</v>
      </c>
      <c r="R1510" s="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31</v>
      </c>
      <c r="V1510">
        <f t="shared" si="143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 s="8">
        <f t="shared" si="139"/>
        <v>110.39</v>
      </c>
      <c r="Q1511" s="10" t="s">
        <v>8336</v>
      </c>
      <c r="R1511" s="10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29</v>
      </c>
      <c r="V1511">
        <f t="shared" si="143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 s="8">
        <f t="shared" si="139"/>
        <v>39.92</v>
      </c>
      <c r="Q1512" s="10" t="s">
        <v>8336</v>
      </c>
      <c r="R1512" s="10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30</v>
      </c>
      <c r="V1512">
        <f t="shared" si="143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 s="8">
        <f t="shared" si="139"/>
        <v>75.98</v>
      </c>
      <c r="Q1513" s="10" t="s">
        <v>8336</v>
      </c>
      <c r="R1513" s="10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30</v>
      </c>
      <c r="V1513">
        <f t="shared" si="143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 s="8">
        <f t="shared" si="139"/>
        <v>58.38</v>
      </c>
      <c r="Q1514" s="10" t="s">
        <v>8336</v>
      </c>
      <c r="R1514" s="10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30</v>
      </c>
      <c r="V1514">
        <f t="shared" si="143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 s="8">
        <f t="shared" si="139"/>
        <v>55.82</v>
      </c>
      <c r="Q1515" s="10" t="s">
        <v>8336</v>
      </c>
      <c r="R1515" s="10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30</v>
      </c>
      <c r="V1515">
        <f t="shared" si="143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 s="8">
        <f t="shared" si="139"/>
        <v>151.24</v>
      </c>
      <c r="Q1516" s="10" t="s">
        <v>8336</v>
      </c>
      <c r="R1516" s="10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40</v>
      </c>
      <c r="V1516">
        <f t="shared" si="143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 s="8">
        <f t="shared" si="139"/>
        <v>849.67</v>
      </c>
      <c r="Q1517" s="10" t="s">
        <v>8336</v>
      </c>
      <c r="R1517" s="10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30</v>
      </c>
      <c r="V1517">
        <f t="shared" si="143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 s="8">
        <f t="shared" si="139"/>
        <v>159.24</v>
      </c>
      <c r="Q1518" s="10" t="s">
        <v>8336</v>
      </c>
      <c r="R1518" s="10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30</v>
      </c>
      <c r="V1518">
        <f t="shared" si="143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 s="8">
        <f t="shared" si="139"/>
        <v>39.51</v>
      </c>
      <c r="Q1519" s="10" t="s">
        <v>8336</v>
      </c>
      <c r="R1519" s="10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31</v>
      </c>
      <c r="V1519">
        <f t="shared" si="143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 s="8">
        <f t="shared" si="139"/>
        <v>130.53</v>
      </c>
      <c r="Q1520" s="10" t="s">
        <v>8336</v>
      </c>
      <c r="R1520" s="1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30</v>
      </c>
      <c r="V1520">
        <f t="shared" si="143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 s="8">
        <f t="shared" si="139"/>
        <v>64.16</v>
      </c>
      <c r="Q1521" s="10" t="s">
        <v>8336</v>
      </c>
      <c r="R1521" s="10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28</v>
      </c>
      <c r="V1521">
        <f t="shared" si="143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 s="8">
        <f t="shared" si="139"/>
        <v>111.53</v>
      </c>
      <c r="Q1522" s="10" t="s">
        <v>8336</v>
      </c>
      <c r="R1522" s="10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36</v>
      </c>
      <c r="V1522">
        <f t="shared" si="143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 s="8">
        <f t="shared" si="139"/>
        <v>170.45</v>
      </c>
      <c r="Q1523" s="10" t="s">
        <v>8336</v>
      </c>
      <c r="R1523" s="10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35</v>
      </c>
      <c r="V1523">
        <f t="shared" si="143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 s="8">
        <f t="shared" si="139"/>
        <v>133.74</v>
      </c>
      <c r="Q1524" s="10" t="s">
        <v>8336</v>
      </c>
      <c r="R1524" s="10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30</v>
      </c>
      <c r="V1524">
        <f t="shared" si="143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 s="8">
        <f t="shared" si="139"/>
        <v>95.83</v>
      </c>
      <c r="Q1525" s="10" t="s">
        <v>8336</v>
      </c>
      <c r="R1525" s="10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31</v>
      </c>
      <c r="V1525">
        <f t="shared" si="143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 s="8">
        <f t="shared" si="139"/>
        <v>221.79</v>
      </c>
      <c r="Q1526" s="10" t="s">
        <v>8336</v>
      </c>
      <c r="R1526" s="10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30</v>
      </c>
      <c r="V1526">
        <f t="shared" si="143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 s="8">
        <f t="shared" si="139"/>
        <v>32.32</v>
      </c>
      <c r="Q1527" s="10" t="s">
        <v>8336</v>
      </c>
      <c r="R1527" s="10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30</v>
      </c>
      <c r="V1527">
        <f t="shared" si="143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 s="8">
        <f t="shared" si="139"/>
        <v>98.84</v>
      </c>
      <c r="Q1528" s="10" t="s">
        <v>8336</v>
      </c>
      <c r="R1528" s="10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49</v>
      </c>
      <c r="V1528">
        <f t="shared" si="143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 s="8">
        <f t="shared" si="139"/>
        <v>55.22</v>
      </c>
      <c r="Q1529" s="10" t="s">
        <v>8336</v>
      </c>
      <c r="R1529" s="10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28</v>
      </c>
      <c r="V1529">
        <f t="shared" si="143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 s="8">
        <f t="shared" si="139"/>
        <v>52.79</v>
      </c>
      <c r="Q1530" s="10" t="s">
        <v>8336</v>
      </c>
      <c r="R1530" s="1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30</v>
      </c>
      <c r="V1530">
        <f t="shared" si="143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 s="8">
        <f t="shared" si="139"/>
        <v>135.66999999999999</v>
      </c>
      <c r="Q1531" s="10" t="s">
        <v>8336</v>
      </c>
      <c r="R1531" s="10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30</v>
      </c>
      <c r="V1531">
        <f t="shared" si="143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 s="8">
        <f t="shared" si="139"/>
        <v>53.99</v>
      </c>
      <c r="Q1532" s="10" t="s">
        <v>8336</v>
      </c>
      <c r="R1532" s="10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25</v>
      </c>
      <c r="V1532">
        <f t="shared" si="143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 s="8">
        <f t="shared" si="139"/>
        <v>56.64</v>
      </c>
      <c r="Q1533" s="10" t="s">
        <v>8336</v>
      </c>
      <c r="R1533" s="10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32</v>
      </c>
      <c r="V1533">
        <f t="shared" si="143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 s="8">
        <f t="shared" si="139"/>
        <v>82.32</v>
      </c>
      <c r="Q1534" s="10" t="s">
        <v>8336</v>
      </c>
      <c r="R1534" s="10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24</v>
      </c>
      <c r="V1534">
        <f t="shared" si="143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 s="8">
        <f t="shared" si="139"/>
        <v>88.26</v>
      </c>
      <c r="Q1535" s="10" t="s">
        <v>8336</v>
      </c>
      <c r="R1535" s="10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49</v>
      </c>
      <c r="V1535">
        <f t="shared" si="143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 s="8">
        <f t="shared" si="139"/>
        <v>84.91</v>
      </c>
      <c r="Q1536" s="10" t="s">
        <v>8336</v>
      </c>
      <c r="R1536" s="10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30</v>
      </c>
      <c r="V1536">
        <f t="shared" si="143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 s="8">
        <f t="shared" si="139"/>
        <v>48.15</v>
      </c>
      <c r="Q1537" s="10" t="s">
        <v>8336</v>
      </c>
      <c r="R1537" s="10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29</v>
      </c>
      <c r="V1537">
        <f t="shared" si="143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ROUND((E1538/D1538)*100, 0)</f>
        <v>250</v>
      </c>
      <c r="P1538" s="8">
        <f t="shared" ref="P1538:P1601" si="145">IFERROR(ROUND(E1538/L1538, 2), 0)</f>
        <v>66.02</v>
      </c>
      <c r="Q1538" s="10" t="s">
        <v>8336</v>
      </c>
      <c r="R1538" s="10" t="s">
        <v>8337</v>
      </c>
      <c r="S1538" s="16">
        <f t="shared" ref="S1538:S1601" si="146">(J1538/60/60/24)+DATE(1970, 1, 1)</f>
        <v>42213.802199074074</v>
      </c>
      <c r="T1538" s="16">
        <f t="shared" ref="T1538:T1601" si="147">(I1538/60/60/24)+DATE(1970, 1, 1)</f>
        <v>42243.802199074074</v>
      </c>
      <c r="U1538">
        <f t="shared" si="142"/>
        <v>30</v>
      </c>
      <c r="V1538">
        <f t="shared" si="143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 s="8">
        <f t="shared" si="145"/>
        <v>96.38</v>
      </c>
      <c r="Q1539" s="10" t="s">
        <v>8336</v>
      </c>
      <c r="R1539" s="10" t="s">
        <v>8337</v>
      </c>
      <c r="S1539" s="16">
        <f t="shared" si="146"/>
        <v>42552.315127314811</v>
      </c>
      <c r="T1539" s="16">
        <f t="shared" si="147"/>
        <v>42588.75</v>
      </c>
      <c r="U1539">
        <f t="shared" ref="U1539:U1602" si="148">ROUND(T1539-S1539, 0)</f>
        <v>36</v>
      </c>
      <c r="V1539">
        <f t="shared" ref="V1539:V1602" si="149">YEAR($S1539)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 s="8">
        <f t="shared" si="145"/>
        <v>156.16999999999999</v>
      </c>
      <c r="Q1540" s="10" t="s">
        <v>8336</v>
      </c>
      <c r="R1540" s="1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45</v>
      </c>
      <c r="V1540">
        <f t="shared" si="149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 s="8">
        <f t="shared" si="145"/>
        <v>95.76</v>
      </c>
      <c r="Q1541" s="10" t="s">
        <v>8336</v>
      </c>
      <c r="R1541" s="10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33</v>
      </c>
      <c r="V1541">
        <f t="shared" si="149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 s="8">
        <f t="shared" si="145"/>
        <v>180.41</v>
      </c>
      <c r="Q1542" s="10" t="s">
        <v>8336</v>
      </c>
      <c r="R1542" s="10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30</v>
      </c>
      <c r="V1542">
        <f t="shared" si="149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 s="8">
        <f t="shared" si="145"/>
        <v>3</v>
      </c>
      <c r="Q1543" s="10" t="s">
        <v>8336</v>
      </c>
      <c r="R1543" s="10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30</v>
      </c>
      <c r="V1543">
        <f t="shared" si="14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 s="8">
        <f t="shared" si="145"/>
        <v>20</v>
      </c>
      <c r="Q1544" s="10" t="s">
        <v>8336</v>
      </c>
      <c r="R1544" s="10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15</v>
      </c>
      <c r="V1544">
        <f t="shared" si="14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 s="8">
        <f t="shared" si="145"/>
        <v>10</v>
      </c>
      <c r="Q1545" s="10" t="s">
        <v>8336</v>
      </c>
      <c r="R1545" s="10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30</v>
      </c>
      <c r="V1545">
        <f t="shared" si="14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 s="8">
        <f t="shared" si="145"/>
        <v>0</v>
      </c>
      <c r="Q1546" s="10" t="s">
        <v>8336</v>
      </c>
      <c r="R1546" s="10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42</v>
      </c>
      <c r="V1546">
        <f t="shared" si="14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 s="8">
        <f t="shared" si="145"/>
        <v>1</v>
      </c>
      <c r="Q1547" s="10" t="s">
        <v>8336</v>
      </c>
      <c r="R1547" s="10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34</v>
      </c>
      <c r="V1547">
        <f t="shared" si="14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 s="8">
        <f t="shared" si="145"/>
        <v>26.27</v>
      </c>
      <c r="Q1548" s="10" t="s">
        <v>8336</v>
      </c>
      <c r="R1548" s="10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60</v>
      </c>
      <c r="V1548">
        <f t="shared" si="14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 s="8">
        <f t="shared" si="145"/>
        <v>0</v>
      </c>
      <c r="Q1549" s="10" t="s">
        <v>8336</v>
      </c>
      <c r="R1549" s="10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7</v>
      </c>
      <c r="V1549">
        <f t="shared" si="14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 s="8">
        <f t="shared" si="145"/>
        <v>60</v>
      </c>
      <c r="Q1550" s="10" t="s">
        <v>8336</v>
      </c>
      <c r="R1550" s="1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30</v>
      </c>
      <c r="V1550">
        <f t="shared" si="14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 s="8">
        <f t="shared" si="145"/>
        <v>28.33</v>
      </c>
      <c r="Q1551" s="10" t="s">
        <v>8336</v>
      </c>
      <c r="R1551" s="10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30</v>
      </c>
      <c r="V1551">
        <f t="shared" si="149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 s="8">
        <f t="shared" si="145"/>
        <v>14.43</v>
      </c>
      <c r="Q1552" s="10" t="s">
        <v>8336</v>
      </c>
      <c r="R1552" s="10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30</v>
      </c>
      <c r="V1552">
        <f t="shared" si="14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 s="8">
        <f t="shared" si="145"/>
        <v>0</v>
      </c>
      <c r="Q1553" s="10" t="s">
        <v>8336</v>
      </c>
      <c r="R1553" s="10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30</v>
      </c>
      <c r="V1553">
        <f t="shared" si="14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 s="8">
        <f t="shared" si="145"/>
        <v>132.19</v>
      </c>
      <c r="Q1554" s="10" t="s">
        <v>8336</v>
      </c>
      <c r="R1554" s="10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</v>
      </c>
      <c r="V1554">
        <f t="shared" si="14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 s="8">
        <f t="shared" si="145"/>
        <v>0</v>
      </c>
      <c r="Q1555" s="10" t="s">
        <v>8336</v>
      </c>
      <c r="R1555" s="10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30</v>
      </c>
      <c r="V1555">
        <f t="shared" si="149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 s="8">
        <f t="shared" si="145"/>
        <v>0</v>
      </c>
      <c r="Q1556" s="10" t="s">
        <v>8336</v>
      </c>
      <c r="R1556" s="10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30</v>
      </c>
      <c r="V1556">
        <f t="shared" si="149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 s="8">
        <f t="shared" si="145"/>
        <v>0</v>
      </c>
      <c r="Q1557" s="10" t="s">
        <v>8336</v>
      </c>
      <c r="R1557" s="10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23</v>
      </c>
      <c r="V1557">
        <f t="shared" si="149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 s="8">
        <f t="shared" si="145"/>
        <v>56.42</v>
      </c>
      <c r="Q1558" s="10" t="s">
        <v>8336</v>
      </c>
      <c r="R1558" s="10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30</v>
      </c>
      <c r="V1558">
        <f t="shared" si="14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 s="8">
        <f t="shared" si="145"/>
        <v>100</v>
      </c>
      <c r="Q1559" s="10" t="s">
        <v>8336</v>
      </c>
      <c r="R1559" s="10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31</v>
      </c>
      <c r="V1559">
        <f t="shared" si="149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 s="8">
        <f t="shared" si="145"/>
        <v>11.67</v>
      </c>
      <c r="Q1560" s="10" t="s">
        <v>8336</v>
      </c>
      <c r="R1560" s="1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59</v>
      </c>
      <c r="V1560">
        <f t="shared" si="14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 s="8">
        <f t="shared" si="145"/>
        <v>50</v>
      </c>
      <c r="Q1561" s="10" t="s">
        <v>8336</v>
      </c>
      <c r="R1561" s="10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15</v>
      </c>
      <c r="V1561">
        <f t="shared" si="14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 s="8">
        <f t="shared" si="145"/>
        <v>23.5</v>
      </c>
      <c r="Q1562" s="10" t="s">
        <v>8336</v>
      </c>
      <c r="R1562" s="10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</v>
      </c>
      <c r="V1562">
        <f t="shared" si="14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 s="8">
        <f t="shared" si="145"/>
        <v>67</v>
      </c>
      <c r="Q1563" s="10" t="s">
        <v>8320</v>
      </c>
      <c r="R1563" s="10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30</v>
      </c>
      <c r="V1563">
        <f t="shared" si="14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 s="8">
        <f t="shared" si="145"/>
        <v>0</v>
      </c>
      <c r="Q1564" s="10" t="s">
        <v>8320</v>
      </c>
      <c r="R1564" s="10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69</v>
      </c>
      <c r="V1564">
        <f t="shared" si="14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 s="8">
        <f t="shared" si="145"/>
        <v>42.5</v>
      </c>
      <c r="Q1565" s="10" t="s">
        <v>8320</v>
      </c>
      <c r="R1565" s="10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60</v>
      </c>
      <c r="V1565">
        <f t="shared" si="14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 s="8">
        <f t="shared" si="145"/>
        <v>10</v>
      </c>
      <c r="Q1566" s="10" t="s">
        <v>8320</v>
      </c>
      <c r="R1566" s="10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31</v>
      </c>
      <c r="V1566">
        <f t="shared" si="14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 s="8">
        <f t="shared" si="145"/>
        <v>100</v>
      </c>
      <c r="Q1567" s="10" t="s">
        <v>8320</v>
      </c>
      <c r="R1567" s="10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30</v>
      </c>
      <c r="V1567">
        <f t="shared" si="14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 s="8">
        <f t="shared" si="145"/>
        <v>108.05</v>
      </c>
      <c r="Q1568" s="10" t="s">
        <v>8320</v>
      </c>
      <c r="R1568" s="10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29</v>
      </c>
      <c r="V1568">
        <f t="shared" si="14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 s="8">
        <f t="shared" si="145"/>
        <v>26.92</v>
      </c>
      <c r="Q1569" s="10" t="s">
        <v>8320</v>
      </c>
      <c r="R1569" s="10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15</v>
      </c>
      <c r="V1569">
        <f t="shared" si="14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 s="8">
        <f t="shared" si="145"/>
        <v>155</v>
      </c>
      <c r="Q1570" s="10" t="s">
        <v>8320</v>
      </c>
      <c r="R1570" s="1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35</v>
      </c>
      <c r="V1570">
        <f t="shared" si="14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 s="8">
        <f t="shared" si="145"/>
        <v>0</v>
      </c>
      <c r="Q1571" s="10" t="s">
        <v>8320</v>
      </c>
      <c r="R1571" s="10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30</v>
      </c>
      <c r="V1571">
        <f t="shared" si="14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 s="8">
        <f t="shared" si="145"/>
        <v>47.77</v>
      </c>
      <c r="Q1572" s="10" t="s">
        <v>8320</v>
      </c>
      <c r="R1572" s="10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30</v>
      </c>
      <c r="V1572">
        <f t="shared" si="14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 s="8">
        <f t="shared" si="145"/>
        <v>20</v>
      </c>
      <c r="Q1573" s="10" t="s">
        <v>8320</v>
      </c>
      <c r="R1573" s="10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30</v>
      </c>
      <c r="V1573">
        <f t="shared" si="14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 s="8">
        <f t="shared" si="145"/>
        <v>41.67</v>
      </c>
      <c r="Q1574" s="10" t="s">
        <v>8320</v>
      </c>
      <c r="R1574" s="10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25</v>
      </c>
      <c r="V1574">
        <f t="shared" si="14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 s="8">
        <f t="shared" si="145"/>
        <v>74.33</v>
      </c>
      <c r="Q1575" s="10" t="s">
        <v>8320</v>
      </c>
      <c r="R1575" s="10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40</v>
      </c>
      <c r="V1575">
        <f t="shared" si="14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 s="8">
        <f t="shared" si="145"/>
        <v>84.33</v>
      </c>
      <c r="Q1576" s="10" t="s">
        <v>8320</v>
      </c>
      <c r="R1576" s="10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35</v>
      </c>
      <c r="V1576">
        <f t="shared" si="14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 s="8">
        <f t="shared" si="145"/>
        <v>65.459999999999994</v>
      </c>
      <c r="Q1577" s="10" t="s">
        <v>8320</v>
      </c>
      <c r="R1577" s="10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30</v>
      </c>
      <c r="V1577">
        <f t="shared" si="14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 s="8">
        <f t="shared" si="145"/>
        <v>65</v>
      </c>
      <c r="Q1578" s="10" t="s">
        <v>8320</v>
      </c>
      <c r="R1578" s="10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45</v>
      </c>
      <c r="V1578">
        <f t="shared" si="14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 s="8">
        <f t="shared" si="145"/>
        <v>27.5</v>
      </c>
      <c r="Q1579" s="10" t="s">
        <v>8320</v>
      </c>
      <c r="R1579" s="10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60</v>
      </c>
      <c r="V1579">
        <f t="shared" si="14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 s="8">
        <f t="shared" si="145"/>
        <v>51.25</v>
      </c>
      <c r="Q1580" s="10" t="s">
        <v>8320</v>
      </c>
      <c r="R1580" s="1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24</v>
      </c>
      <c r="V1580">
        <f t="shared" si="14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 s="8">
        <f t="shared" si="145"/>
        <v>14</v>
      </c>
      <c r="Q1581" s="10" t="s">
        <v>8320</v>
      </c>
      <c r="R1581" s="10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33</v>
      </c>
      <c r="V1581">
        <f t="shared" si="14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 s="8">
        <f t="shared" si="145"/>
        <v>0</v>
      </c>
      <c r="Q1582" s="10" t="s">
        <v>8320</v>
      </c>
      <c r="R1582" s="10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60</v>
      </c>
      <c r="V1582">
        <f t="shared" si="14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 s="8">
        <f t="shared" si="145"/>
        <v>5</v>
      </c>
      <c r="Q1583" s="10" t="s">
        <v>8336</v>
      </c>
      <c r="R1583" s="10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32</v>
      </c>
      <c r="V1583">
        <f t="shared" si="14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 s="8">
        <f t="shared" si="145"/>
        <v>31</v>
      </c>
      <c r="Q1584" s="10" t="s">
        <v>8336</v>
      </c>
      <c r="R1584" s="10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57</v>
      </c>
      <c r="V1584">
        <f t="shared" si="149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 s="8">
        <f t="shared" si="145"/>
        <v>15</v>
      </c>
      <c r="Q1585" s="10" t="s">
        <v>8336</v>
      </c>
      <c r="R1585" s="10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30</v>
      </c>
      <c r="V1585">
        <f t="shared" si="14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 s="8">
        <f t="shared" si="145"/>
        <v>0</v>
      </c>
      <c r="Q1586" s="10" t="s">
        <v>8336</v>
      </c>
      <c r="R1586" s="10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10</v>
      </c>
      <c r="V1586">
        <f t="shared" si="149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 s="8">
        <f t="shared" si="145"/>
        <v>131.66999999999999</v>
      </c>
      <c r="Q1587" s="10" t="s">
        <v>8336</v>
      </c>
      <c r="R1587" s="10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22</v>
      </c>
      <c r="V1587">
        <f t="shared" si="14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 s="8">
        <f t="shared" si="145"/>
        <v>0</v>
      </c>
      <c r="Q1588" s="10" t="s">
        <v>8336</v>
      </c>
      <c r="R1588" s="10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30</v>
      </c>
      <c r="V1588">
        <f t="shared" si="149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 s="8">
        <f t="shared" si="145"/>
        <v>1</v>
      </c>
      <c r="Q1589" s="10" t="s">
        <v>8336</v>
      </c>
      <c r="R1589" s="10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30</v>
      </c>
      <c r="V1589">
        <f t="shared" si="14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 s="8">
        <f t="shared" si="145"/>
        <v>0</v>
      </c>
      <c r="Q1590" s="10" t="s">
        <v>8336</v>
      </c>
      <c r="R1590" s="1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31</v>
      </c>
      <c r="V1590">
        <f t="shared" si="149"/>
        <v>2015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 s="8">
        <f t="shared" si="145"/>
        <v>0</v>
      </c>
      <c r="Q1591" s="10" t="s">
        <v>8336</v>
      </c>
      <c r="R1591" s="10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30</v>
      </c>
      <c r="V1591">
        <f t="shared" si="14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 s="8">
        <f t="shared" si="145"/>
        <v>510</v>
      </c>
      <c r="Q1592" s="10" t="s">
        <v>8336</v>
      </c>
      <c r="R1592" s="10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30</v>
      </c>
      <c r="V1592">
        <f t="shared" si="149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 s="8">
        <f t="shared" si="145"/>
        <v>44.48</v>
      </c>
      <c r="Q1593" s="10" t="s">
        <v>8336</v>
      </c>
      <c r="R1593" s="10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30</v>
      </c>
      <c r="V1593">
        <f t="shared" si="14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 s="8">
        <f t="shared" si="145"/>
        <v>0</v>
      </c>
      <c r="Q1594" s="10" t="s">
        <v>8336</v>
      </c>
      <c r="R1594" s="10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45</v>
      </c>
      <c r="V1594">
        <f t="shared" si="14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 s="8">
        <f t="shared" si="145"/>
        <v>1</v>
      </c>
      <c r="Q1595" s="10" t="s">
        <v>8336</v>
      </c>
      <c r="R1595" s="10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30</v>
      </c>
      <c r="V1595">
        <f t="shared" si="14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 s="8">
        <f t="shared" si="145"/>
        <v>20.5</v>
      </c>
      <c r="Q1596" s="10" t="s">
        <v>8336</v>
      </c>
      <c r="R1596" s="10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60</v>
      </c>
      <c r="V1596">
        <f t="shared" si="14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 s="8">
        <f t="shared" si="145"/>
        <v>40</v>
      </c>
      <c r="Q1597" s="10" t="s">
        <v>8336</v>
      </c>
      <c r="R1597" s="10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29</v>
      </c>
      <c r="V1597">
        <f t="shared" si="149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 s="8">
        <f t="shared" si="145"/>
        <v>25</v>
      </c>
      <c r="Q1598" s="10" t="s">
        <v>8336</v>
      </c>
      <c r="R1598" s="10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45</v>
      </c>
      <c r="V1598">
        <f t="shared" si="14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 s="8">
        <f t="shared" si="145"/>
        <v>0</v>
      </c>
      <c r="Q1599" s="10" t="s">
        <v>8336</v>
      </c>
      <c r="R1599" s="10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30</v>
      </c>
      <c r="V1599">
        <f t="shared" si="149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 s="8">
        <f t="shared" si="145"/>
        <v>1</v>
      </c>
      <c r="Q1600" s="10" t="s">
        <v>8336</v>
      </c>
      <c r="R1600" s="1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60</v>
      </c>
      <c r="V1600">
        <f t="shared" si="149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 s="8">
        <f t="shared" si="145"/>
        <v>0</v>
      </c>
      <c r="Q1601" s="10" t="s">
        <v>8336</v>
      </c>
      <c r="R1601" s="10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30</v>
      </c>
      <c r="V1601">
        <f t="shared" si="14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ROUND((E1602/D1602)*100, 0)</f>
        <v>7</v>
      </c>
      <c r="P1602" s="8">
        <f t="shared" ref="P1602:P1665" si="151">IFERROR(ROUND(E1602/L1602, 2), 0)</f>
        <v>40.78</v>
      </c>
      <c r="Q1602" s="10" t="s">
        <v>8336</v>
      </c>
      <c r="R1602" s="10" t="s">
        <v>8343</v>
      </c>
      <c r="S1602" s="16">
        <f t="shared" ref="S1602:S1665" si="152">(J1602/60/60/24)+DATE(1970, 1, 1)</f>
        <v>41791.057314814818</v>
      </c>
      <c r="T1602" s="16">
        <f t="shared" ref="T1602:T1665" si="153">(I1602/60/60/24)+DATE(1970, 1, 1)</f>
        <v>41835.21597222222</v>
      </c>
      <c r="U1602">
        <f t="shared" si="148"/>
        <v>44</v>
      </c>
      <c r="V1602">
        <f t="shared" si="149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 s="8">
        <f t="shared" si="151"/>
        <v>48.33</v>
      </c>
      <c r="Q1603" s="10" t="s">
        <v>8323</v>
      </c>
      <c r="R1603" s="10" t="s">
        <v>8324</v>
      </c>
      <c r="S1603" s="16">
        <f t="shared" si="152"/>
        <v>40638.092974537038</v>
      </c>
      <c r="T1603" s="16">
        <f t="shared" si="153"/>
        <v>40668.092974537038</v>
      </c>
      <c r="U1603">
        <f t="shared" ref="U1603:U1666" si="154">ROUND(T1603-S1603, 0)</f>
        <v>30</v>
      </c>
      <c r="V1603">
        <f t="shared" ref="V1603:V1666" si="155">YEAR($S1603)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 s="8">
        <f t="shared" si="151"/>
        <v>46.95</v>
      </c>
      <c r="Q1604" s="10" t="s">
        <v>8323</v>
      </c>
      <c r="R1604" s="10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43</v>
      </c>
      <c r="V1604">
        <f t="shared" si="155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 s="8">
        <f t="shared" si="151"/>
        <v>66.69</v>
      </c>
      <c r="Q1605" s="10" t="s">
        <v>8323</v>
      </c>
      <c r="R1605" s="10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60</v>
      </c>
      <c r="V1605">
        <f t="shared" si="155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 s="8">
        <f t="shared" si="151"/>
        <v>48.84</v>
      </c>
      <c r="Q1606" s="10" t="s">
        <v>8323</v>
      </c>
      <c r="R1606" s="10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40</v>
      </c>
      <c r="V1606">
        <f t="shared" si="155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 s="8">
        <f t="shared" si="151"/>
        <v>137.31</v>
      </c>
      <c r="Q1607" s="10" t="s">
        <v>8323</v>
      </c>
      <c r="R1607" s="10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9</v>
      </c>
      <c r="V1607">
        <f t="shared" si="155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 s="8">
        <f t="shared" si="151"/>
        <v>87.83</v>
      </c>
      <c r="Q1608" s="10" t="s">
        <v>8323</v>
      </c>
      <c r="R1608" s="10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90</v>
      </c>
      <c r="V1608">
        <f t="shared" si="155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 s="8">
        <f t="shared" si="151"/>
        <v>70.790000000000006</v>
      </c>
      <c r="Q1609" s="10" t="s">
        <v>8323</v>
      </c>
      <c r="R1609" s="10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21</v>
      </c>
      <c r="V1609">
        <f t="shared" si="155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 s="8">
        <f t="shared" si="151"/>
        <v>52.83</v>
      </c>
      <c r="Q1610" s="10" t="s">
        <v>8323</v>
      </c>
      <c r="R1610" s="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32</v>
      </c>
      <c r="V1610">
        <f t="shared" si="155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 s="8">
        <f t="shared" si="151"/>
        <v>443.75</v>
      </c>
      <c r="Q1611" s="10" t="s">
        <v>8323</v>
      </c>
      <c r="R1611" s="10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53</v>
      </c>
      <c r="V1611">
        <f t="shared" si="155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 s="8">
        <f t="shared" si="151"/>
        <v>48.54</v>
      </c>
      <c r="Q1612" s="10" t="s">
        <v>8323</v>
      </c>
      <c r="R1612" s="10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30</v>
      </c>
      <c r="V1612">
        <f t="shared" si="155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 s="8">
        <f t="shared" si="151"/>
        <v>37.07</v>
      </c>
      <c r="Q1613" s="10" t="s">
        <v>8323</v>
      </c>
      <c r="R1613" s="10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21</v>
      </c>
      <c r="V1613">
        <f t="shared" si="155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 s="8">
        <f t="shared" si="151"/>
        <v>50</v>
      </c>
      <c r="Q1614" s="10" t="s">
        <v>8323</v>
      </c>
      <c r="R1614" s="10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30</v>
      </c>
      <c r="V1614">
        <f t="shared" si="155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 s="8">
        <f t="shared" si="151"/>
        <v>39.04</v>
      </c>
      <c r="Q1615" s="10" t="s">
        <v>8323</v>
      </c>
      <c r="R1615" s="10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30</v>
      </c>
      <c r="V1615">
        <f t="shared" si="155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 s="8">
        <f t="shared" si="151"/>
        <v>66.69</v>
      </c>
      <c r="Q1616" s="10" t="s">
        <v>8323</v>
      </c>
      <c r="R1616" s="10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60</v>
      </c>
      <c r="V1616">
        <f t="shared" si="155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 s="8">
        <f t="shared" si="151"/>
        <v>67.13</v>
      </c>
      <c r="Q1617" s="10" t="s">
        <v>8323</v>
      </c>
      <c r="R1617" s="10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45</v>
      </c>
      <c r="V1617">
        <f t="shared" si="155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 s="8">
        <f t="shared" si="151"/>
        <v>66.37</v>
      </c>
      <c r="Q1618" s="10" t="s">
        <v>8323</v>
      </c>
      <c r="R1618" s="10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41</v>
      </c>
      <c r="V1618">
        <f t="shared" si="155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 s="8">
        <f t="shared" si="151"/>
        <v>64.62</v>
      </c>
      <c r="Q1619" s="10" t="s">
        <v>8323</v>
      </c>
      <c r="R1619" s="10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33</v>
      </c>
      <c r="V1619">
        <f t="shared" si="155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 s="8">
        <f t="shared" si="151"/>
        <v>58.37</v>
      </c>
      <c r="Q1620" s="10" t="s">
        <v>8323</v>
      </c>
      <c r="R1620" s="1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40</v>
      </c>
      <c r="V1620">
        <f t="shared" si="155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 s="8">
        <f t="shared" si="151"/>
        <v>86.96</v>
      </c>
      <c r="Q1621" s="10" t="s">
        <v>8323</v>
      </c>
      <c r="R1621" s="10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21</v>
      </c>
      <c r="V1621">
        <f t="shared" si="155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 s="8">
        <f t="shared" si="151"/>
        <v>66.47</v>
      </c>
      <c r="Q1622" s="10" t="s">
        <v>8323</v>
      </c>
      <c r="R1622" s="10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7</v>
      </c>
      <c r="V1622">
        <f t="shared" si="155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 s="8">
        <f t="shared" si="151"/>
        <v>163.78</v>
      </c>
      <c r="Q1623" s="10" t="s">
        <v>8323</v>
      </c>
      <c r="R1623" s="10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54</v>
      </c>
      <c r="V1623">
        <f t="shared" si="155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 s="8">
        <f t="shared" si="151"/>
        <v>107.98</v>
      </c>
      <c r="Q1624" s="10" t="s">
        <v>8323</v>
      </c>
      <c r="R1624" s="10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40</v>
      </c>
      <c r="V1624">
        <f t="shared" si="155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 s="8">
        <f t="shared" si="151"/>
        <v>42.11</v>
      </c>
      <c r="Q1625" s="10" t="s">
        <v>8323</v>
      </c>
      <c r="R1625" s="10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60</v>
      </c>
      <c r="V1625">
        <f t="shared" si="155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 s="8">
        <f t="shared" si="151"/>
        <v>47.2</v>
      </c>
      <c r="Q1626" s="10" t="s">
        <v>8323</v>
      </c>
      <c r="R1626" s="10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40</v>
      </c>
      <c r="V1626">
        <f t="shared" si="155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 s="8">
        <f t="shared" si="151"/>
        <v>112.02</v>
      </c>
      <c r="Q1627" s="10" t="s">
        <v>8323</v>
      </c>
      <c r="R1627" s="10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28</v>
      </c>
      <c r="V1627">
        <f t="shared" si="155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 s="8">
        <f t="shared" si="151"/>
        <v>74.95</v>
      </c>
      <c r="Q1628" s="10" t="s">
        <v>8323</v>
      </c>
      <c r="R1628" s="10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30</v>
      </c>
      <c r="V1628">
        <f t="shared" si="155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 s="8">
        <f t="shared" si="151"/>
        <v>61.58</v>
      </c>
      <c r="Q1629" s="10" t="s">
        <v>8323</v>
      </c>
      <c r="R1629" s="10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34</v>
      </c>
      <c r="V1629">
        <f t="shared" si="155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 s="8">
        <f t="shared" si="151"/>
        <v>45.88</v>
      </c>
      <c r="Q1630" s="10" t="s">
        <v>8323</v>
      </c>
      <c r="R1630" s="1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33</v>
      </c>
      <c r="V1630">
        <f t="shared" si="155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 s="8">
        <f t="shared" si="151"/>
        <v>75.849999999999994</v>
      </c>
      <c r="Q1631" s="10" t="s">
        <v>8323</v>
      </c>
      <c r="R1631" s="10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45</v>
      </c>
      <c r="V1631">
        <f t="shared" si="155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 s="8">
        <f t="shared" si="151"/>
        <v>84.21</v>
      </c>
      <c r="Q1632" s="10" t="s">
        <v>8323</v>
      </c>
      <c r="R1632" s="10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30</v>
      </c>
      <c r="V1632">
        <f t="shared" si="155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 s="8">
        <f t="shared" si="151"/>
        <v>117.23</v>
      </c>
      <c r="Q1633" s="10" t="s">
        <v>8323</v>
      </c>
      <c r="R1633" s="10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30</v>
      </c>
      <c r="V1633">
        <f t="shared" si="155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 s="8">
        <f t="shared" si="151"/>
        <v>86.49</v>
      </c>
      <c r="Q1634" s="10" t="s">
        <v>8323</v>
      </c>
      <c r="R1634" s="10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60</v>
      </c>
      <c r="V1634">
        <f t="shared" si="155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 s="8">
        <f t="shared" si="151"/>
        <v>172.41</v>
      </c>
      <c r="Q1635" s="10" t="s">
        <v>8323</v>
      </c>
      <c r="R1635" s="10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27</v>
      </c>
      <c r="V1635">
        <f t="shared" si="155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 s="8">
        <f t="shared" si="151"/>
        <v>62.81</v>
      </c>
      <c r="Q1636" s="10" t="s">
        <v>8323</v>
      </c>
      <c r="R1636" s="10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38</v>
      </c>
      <c r="V1636">
        <f t="shared" si="155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 s="8">
        <f t="shared" si="151"/>
        <v>67.73</v>
      </c>
      <c r="Q1637" s="10" t="s">
        <v>8323</v>
      </c>
      <c r="R1637" s="10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60</v>
      </c>
      <c r="V1637">
        <f t="shared" si="155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 s="8">
        <f t="shared" si="151"/>
        <v>53.56</v>
      </c>
      <c r="Q1638" s="10" t="s">
        <v>8323</v>
      </c>
      <c r="R1638" s="10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43</v>
      </c>
      <c r="V1638">
        <f t="shared" si="155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 s="8">
        <f t="shared" si="151"/>
        <v>34.6</v>
      </c>
      <c r="Q1639" s="10" t="s">
        <v>8323</v>
      </c>
      <c r="R1639" s="10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56</v>
      </c>
      <c r="V1639">
        <f t="shared" si="155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 s="8">
        <f t="shared" si="151"/>
        <v>38.89</v>
      </c>
      <c r="Q1640" s="10" t="s">
        <v>8323</v>
      </c>
      <c r="R1640" s="1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45</v>
      </c>
      <c r="V1640">
        <f t="shared" si="155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 s="8">
        <f t="shared" si="151"/>
        <v>94.74</v>
      </c>
      <c r="Q1641" s="10" t="s">
        <v>8323</v>
      </c>
      <c r="R1641" s="10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30</v>
      </c>
      <c r="V1641">
        <f t="shared" si="155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 s="8">
        <f t="shared" si="151"/>
        <v>39.97</v>
      </c>
      <c r="Q1642" s="10" t="s">
        <v>8323</v>
      </c>
      <c r="R1642" s="10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14</v>
      </c>
      <c r="V1642">
        <f t="shared" si="155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 s="8">
        <f t="shared" si="151"/>
        <v>97.5</v>
      </c>
      <c r="Q1643" s="10" t="s">
        <v>8323</v>
      </c>
      <c r="R1643" s="10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30</v>
      </c>
      <c r="V1643">
        <f t="shared" si="155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 s="8">
        <f t="shared" si="151"/>
        <v>42.86</v>
      </c>
      <c r="Q1644" s="10" t="s">
        <v>8323</v>
      </c>
      <c r="R1644" s="10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</v>
      </c>
      <c r="V1644">
        <f t="shared" si="155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 s="8">
        <f t="shared" si="151"/>
        <v>168.51</v>
      </c>
      <c r="Q1645" s="10" t="s">
        <v>8323</v>
      </c>
      <c r="R1645" s="10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30</v>
      </c>
      <c r="V1645">
        <f t="shared" si="155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 s="8">
        <f t="shared" si="151"/>
        <v>85.55</v>
      </c>
      <c r="Q1646" s="10" t="s">
        <v>8323</v>
      </c>
      <c r="R1646" s="10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60</v>
      </c>
      <c r="V1646">
        <f t="shared" si="155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 s="8">
        <f t="shared" si="151"/>
        <v>554</v>
      </c>
      <c r="Q1647" s="10" t="s">
        <v>8323</v>
      </c>
      <c r="R1647" s="10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14</v>
      </c>
      <c r="V1647">
        <f t="shared" si="155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 s="8">
        <f t="shared" si="151"/>
        <v>26.55</v>
      </c>
      <c r="Q1648" s="10" t="s">
        <v>8323</v>
      </c>
      <c r="R1648" s="10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32</v>
      </c>
      <c r="V1648">
        <f t="shared" si="155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 s="8">
        <f t="shared" si="151"/>
        <v>113.83</v>
      </c>
      <c r="Q1649" s="10" t="s">
        <v>8323</v>
      </c>
      <c r="R1649" s="10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30</v>
      </c>
      <c r="V1649">
        <f t="shared" si="155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 s="8">
        <f t="shared" si="151"/>
        <v>32.01</v>
      </c>
      <c r="Q1650" s="10" t="s">
        <v>8323</v>
      </c>
      <c r="R1650" s="1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30</v>
      </c>
      <c r="V1650">
        <f t="shared" si="155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 s="8">
        <f t="shared" si="151"/>
        <v>47.19</v>
      </c>
      <c r="Q1651" s="10" t="s">
        <v>8323</v>
      </c>
      <c r="R1651" s="10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45</v>
      </c>
      <c r="V1651">
        <f t="shared" si="155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 s="8">
        <f t="shared" si="151"/>
        <v>88.47</v>
      </c>
      <c r="Q1652" s="10" t="s">
        <v>8323</v>
      </c>
      <c r="R1652" s="10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30</v>
      </c>
      <c r="V1652">
        <f t="shared" si="155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 s="8">
        <f t="shared" si="151"/>
        <v>100.75</v>
      </c>
      <c r="Q1653" s="10" t="s">
        <v>8323</v>
      </c>
      <c r="R1653" s="10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33</v>
      </c>
      <c r="V1653">
        <f t="shared" si="155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 s="8">
        <f t="shared" si="151"/>
        <v>64.709999999999994</v>
      </c>
      <c r="Q1654" s="10" t="s">
        <v>8323</v>
      </c>
      <c r="R1654" s="10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30</v>
      </c>
      <c r="V1654">
        <f t="shared" si="155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 s="8">
        <f t="shared" si="151"/>
        <v>51.85</v>
      </c>
      <c r="Q1655" s="10" t="s">
        <v>8323</v>
      </c>
      <c r="R1655" s="10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31</v>
      </c>
      <c r="V1655">
        <f t="shared" si="155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 s="8">
        <f t="shared" si="151"/>
        <v>38.79</v>
      </c>
      <c r="Q1656" s="10" t="s">
        <v>8323</v>
      </c>
      <c r="R1656" s="10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30</v>
      </c>
      <c r="V1656">
        <f t="shared" si="155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 s="8">
        <f t="shared" si="151"/>
        <v>44.65</v>
      </c>
      <c r="Q1657" s="10" t="s">
        <v>8323</v>
      </c>
      <c r="R1657" s="10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30</v>
      </c>
      <c r="V1657">
        <f t="shared" si="155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 s="8">
        <f t="shared" si="151"/>
        <v>156.77000000000001</v>
      </c>
      <c r="Q1658" s="10" t="s">
        <v>8323</v>
      </c>
      <c r="R1658" s="10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30</v>
      </c>
      <c r="V1658">
        <f t="shared" si="155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 s="8">
        <f t="shared" si="151"/>
        <v>118.7</v>
      </c>
      <c r="Q1659" s="10" t="s">
        <v>8323</v>
      </c>
      <c r="R1659" s="10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30</v>
      </c>
      <c r="V1659">
        <f t="shared" si="155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 s="8">
        <f t="shared" si="151"/>
        <v>74.150000000000006</v>
      </c>
      <c r="Q1660" s="10" t="s">
        <v>8323</v>
      </c>
      <c r="R1660" s="1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38</v>
      </c>
      <c r="V1660">
        <f t="shared" si="155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 s="8">
        <f t="shared" si="151"/>
        <v>12.53</v>
      </c>
      <c r="Q1661" s="10" t="s">
        <v>8323</v>
      </c>
      <c r="R1661" s="10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29</v>
      </c>
      <c r="V1661">
        <f t="shared" si="155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 s="8">
        <f t="shared" si="151"/>
        <v>27.86</v>
      </c>
      <c r="Q1662" s="10" t="s">
        <v>8323</v>
      </c>
      <c r="R1662" s="10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31</v>
      </c>
      <c r="V1662">
        <f t="shared" si="155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 s="8">
        <f t="shared" si="151"/>
        <v>80.180000000000007</v>
      </c>
      <c r="Q1663" s="10" t="s">
        <v>8323</v>
      </c>
      <c r="R1663" s="10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43</v>
      </c>
      <c r="V1663">
        <f t="shared" si="155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 s="8">
        <f t="shared" si="151"/>
        <v>132.44</v>
      </c>
      <c r="Q1664" s="10" t="s">
        <v>8323</v>
      </c>
      <c r="R1664" s="10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60</v>
      </c>
      <c r="V1664">
        <f t="shared" si="155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 s="8">
        <f t="shared" si="151"/>
        <v>33.75</v>
      </c>
      <c r="Q1665" s="10" t="s">
        <v>8323</v>
      </c>
      <c r="R1665" s="10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30</v>
      </c>
      <c r="V1665">
        <f t="shared" si="155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ROUND((E1666/D1666)*100, 0)</f>
        <v>122</v>
      </c>
      <c r="P1666" s="8">
        <f t="shared" ref="P1666:P1729" si="157">IFERROR(ROUND(E1666/L1666, 2), 0)</f>
        <v>34.380000000000003</v>
      </c>
      <c r="Q1666" s="10" t="s">
        <v>8323</v>
      </c>
      <c r="R1666" s="10" t="s">
        <v>8344</v>
      </c>
      <c r="S1666" s="16">
        <f t="shared" ref="S1666:S1729" si="158">(J1666/60/60/24)+DATE(1970, 1, 1)</f>
        <v>40939.761782407404</v>
      </c>
      <c r="T1666" s="16">
        <f t="shared" ref="T1666:T1729" si="159">(I1666/60/60/24)+DATE(1970, 1, 1)</f>
        <v>40984.165972222225</v>
      </c>
      <c r="U1666">
        <f t="shared" si="154"/>
        <v>44</v>
      </c>
      <c r="V1666">
        <f t="shared" si="155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 s="8">
        <f t="shared" si="157"/>
        <v>44.96</v>
      </c>
      <c r="Q1667" s="10" t="s">
        <v>8323</v>
      </c>
      <c r="R1667" s="10" t="s">
        <v>8344</v>
      </c>
      <c r="S1667" s="16">
        <f t="shared" si="158"/>
        <v>40564.649456018517</v>
      </c>
      <c r="T1667" s="16">
        <f t="shared" si="159"/>
        <v>40596.125</v>
      </c>
      <c r="U1667">
        <f t="shared" ref="U1667:U1730" si="160">ROUND(T1667-S1667, 0)</f>
        <v>31</v>
      </c>
      <c r="V1667">
        <f t="shared" ref="V1667:V1730" si="161">YEAR($S1667)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 s="8">
        <f t="shared" si="157"/>
        <v>41.04</v>
      </c>
      <c r="Q1668" s="10" t="s">
        <v>8323</v>
      </c>
      <c r="R1668" s="10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30</v>
      </c>
      <c r="V1668">
        <f t="shared" si="161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 s="8">
        <f t="shared" si="157"/>
        <v>52.6</v>
      </c>
      <c r="Q1669" s="10" t="s">
        <v>8323</v>
      </c>
      <c r="R1669" s="10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27</v>
      </c>
      <c r="V1669">
        <f t="shared" si="161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 s="8">
        <f t="shared" si="157"/>
        <v>70.78</v>
      </c>
      <c r="Q1670" s="10" t="s">
        <v>8323</v>
      </c>
      <c r="R1670" s="1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30</v>
      </c>
      <c r="V1670">
        <f t="shared" si="161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 s="8">
        <f t="shared" si="157"/>
        <v>53.75</v>
      </c>
      <c r="Q1671" s="10" t="s">
        <v>8323</v>
      </c>
      <c r="R1671" s="10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60</v>
      </c>
      <c r="V1671">
        <f t="shared" si="161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 s="8">
        <f t="shared" si="157"/>
        <v>44.61</v>
      </c>
      <c r="Q1672" s="10" t="s">
        <v>8323</v>
      </c>
      <c r="R1672" s="10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50</v>
      </c>
      <c r="V1672">
        <f t="shared" si="161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 s="8">
        <f t="shared" si="157"/>
        <v>26.15</v>
      </c>
      <c r="Q1673" s="10" t="s">
        <v>8323</v>
      </c>
      <c r="R1673" s="10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30</v>
      </c>
      <c r="V1673">
        <f t="shared" si="161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 s="8">
        <f t="shared" si="157"/>
        <v>39.18</v>
      </c>
      <c r="Q1674" s="10" t="s">
        <v>8323</v>
      </c>
      <c r="R1674" s="10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30</v>
      </c>
      <c r="V1674">
        <f t="shared" si="161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 s="8">
        <f t="shared" si="157"/>
        <v>45.59</v>
      </c>
      <c r="Q1675" s="10" t="s">
        <v>8323</v>
      </c>
      <c r="R1675" s="10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30</v>
      </c>
      <c r="V1675">
        <f t="shared" si="161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 s="8">
        <f t="shared" si="157"/>
        <v>89.25</v>
      </c>
      <c r="Q1676" s="10" t="s">
        <v>8323</v>
      </c>
      <c r="R1676" s="10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31</v>
      </c>
      <c r="V1676">
        <f t="shared" si="161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 s="8">
        <f t="shared" si="157"/>
        <v>40.42</v>
      </c>
      <c r="Q1677" s="10" t="s">
        <v>8323</v>
      </c>
      <c r="R1677" s="10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30</v>
      </c>
      <c r="V1677">
        <f t="shared" si="161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 s="8">
        <f t="shared" si="157"/>
        <v>82.38</v>
      </c>
      <c r="Q1678" s="10" t="s">
        <v>8323</v>
      </c>
      <c r="R1678" s="10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46</v>
      </c>
      <c r="V1678">
        <f t="shared" si="161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 s="8">
        <f t="shared" si="157"/>
        <v>159.52000000000001</v>
      </c>
      <c r="Q1679" s="10" t="s">
        <v>8323</v>
      </c>
      <c r="R1679" s="10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60</v>
      </c>
      <c r="V1679">
        <f t="shared" si="161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 s="8">
        <f t="shared" si="157"/>
        <v>36.24</v>
      </c>
      <c r="Q1680" s="10" t="s">
        <v>8323</v>
      </c>
      <c r="R1680" s="1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14</v>
      </c>
      <c r="V1680">
        <f t="shared" si="161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 s="8">
        <f t="shared" si="157"/>
        <v>62.5</v>
      </c>
      <c r="Q1681" s="10" t="s">
        <v>8323</v>
      </c>
      <c r="R1681" s="10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23</v>
      </c>
      <c r="V1681">
        <f t="shared" si="161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 s="8">
        <f t="shared" si="157"/>
        <v>47</v>
      </c>
      <c r="Q1682" s="10" t="s">
        <v>8323</v>
      </c>
      <c r="R1682" s="10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30</v>
      </c>
      <c r="V1682">
        <f t="shared" si="161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 s="8">
        <f t="shared" si="157"/>
        <v>74.58</v>
      </c>
      <c r="Q1683" s="10" t="s">
        <v>8323</v>
      </c>
      <c r="R1683" s="10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49</v>
      </c>
      <c r="V1683">
        <f t="shared" si="161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 s="8">
        <f t="shared" si="157"/>
        <v>0</v>
      </c>
      <c r="Q1684" s="10" t="s">
        <v>8323</v>
      </c>
      <c r="R1684" s="10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60</v>
      </c>
      <c r="V1684">
        <f t="shared" si="161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 s="8">
        <f t="shared" si="157"/>
        <v>76</v>
      </c>
      <c r="Q1685" s="10" t="s">
        <v>8323</v>
      </c>
      <c r="R1685" s="10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24</v>
      </c>
      <c r="V1685">
        <f t="shared" si="161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 s="8">
        <f t="shared" si="157"/>
        <v>86.44</v>
      </c>
      <c r="Q1686" s="10" t="s">
        <v>8323</v>
      </c>
      <c r="R1686" s="10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28</v>
      </c>
      <c r="V1686">
        <f t="shared" si="161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 s="8">
        <f t="shared" si="157"/>
        <v>24</v>
      </c>
      <c r="Q1687" s="10" t="s">
        <v>8323</v>
      </c>
      <c r="R1687" s="10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30</v>
      </c>
      <c r="V1687">
        <f t="shared" si="161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 s="8">
        <f t="shared" si="157"/>
        <v>18</v>
      </c>
      <c r="Q1688" s="10" t="s">
        <v>8323</v>
      </c>
      <c r="R1688" s="10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60</v>
      </c>
      <c r="V1688">
        <f t="shared" si="161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 s="8">
        <f t="shared" si="157"/>
        <v>80.13</v>
      </c>
      <c r="Q1689" s="10" t="s">
        <v>8323</v>
      </c>
      <c r="R1689" s="10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34</v>
      </c>
      <c r="V1689">
        <f t="shared" si="161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 s="8">
        <f t="shared" si="157"/>
        <v>253.14</v>
      </c>
      <c r="Q1690" s="10" t="s">
        <v>8323</v>
      </c>
      <c r="R1690" s="1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30</v>
      </c>
      <c r="V1690">
        <f t="shared" si="161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 s="8">
        <f t="shared" si="157"/>
        <v>171.43</v>
      </c>
      <c r="Q1691" s="10" t="s">
        <v>8323</v>
      </c>
      <c r="R1691" s="10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30</v>
      </c>
      <c r="V1691">
        <f t="shared" si="161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 s="8">
        <f t="shared" si="157"/>
        <v>57.73</v>
      </c>
      <c r="Q1692" s="10" t="s">
        <v>8323</v>
      </c>
      <c r="R1692" s="10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30</v>
      </c>
      <c r="V1692">
        <f t="shared" si="161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 s="8">
        <f t="shared" si="157"/>
        <v>264.26</v>
      </c>
      <c r="Q1693" s="10" t="s">
        <v>8323</v>
      </c>
      <c r="R1693" s="10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32</v>
      </c>
      <c r="V1693">
        <f t="shared" si="161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 s="8">
        <f t="shared" si="157"/>
        <v>159.33000000000001</v>
      </c>
      <c r="Q1694" s="10" t="s">
        <v>8323</v>
      </c>
      <c r="R1694" s="10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33</v>
      </c>
      <c r="V1694">
        <f t="shared" si="161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 s="8">
        <f t="shared" si="157"/>
        <v>35</v>
      </c>
      <c r="Q1695" s="10" t="s">
        <v>8323</v>
      </c>
      <c r="R1695" s="10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31</v>
      </c>
      <c r="V1695">
        <f t="shared" si="161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 s="8">
        <f t="shared" si="157"/>
        <v>5</v>
      </c>
      <c r="Q1696" s="10" t="s">
        <v>8323</v>
      </c>
      <c r="R1696" s="10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30</v>
      </c>
      <c r="V1696">
        <f t="shared" si="161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 s="8">
        <f t="shared" si="157"/>
        <v>61.09</v>
      </c>
      <c r="Q1697" s="10" t="s">
        <v>8323</v>
      </c>
      <c r="R1697" s="10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34</v>
      </c>
      <c r="V1697">
        <f t="shared" si="161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 s="8">
        <f t="shared" si="157"/>
        <v>0</v>
      </c>
      <c r="Q1698" s="10" t="s">
        <v>8323</v>
      </c>
      <c r="R1698" s="10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30</v>
      </c>
      <c r="V1698">
        <f t="shared" si="161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 s="8">
        <f t="shared" si="157"/>
        <v>114.82</v>
      </c>
      <c r="Q1699" s="10" t="s">
        <v>8323</v>
      </c>
      <c r="R1699" s="10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30</v>
      </c>
      <c r="V1699">
        <f t="shared" si="161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 s="8">
        <f t="shared" si="157"/>
        <v>0</v>
      </c>
      <c r="Q1700" s="10" t="s">
        <v>8323</v>
      </c>
      <c r="R1700" s="1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24</v>
      </c>
      <c r="V1700">
        <f t="shared" si="161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 s="8">
        <f t="shared" si="157"/>
        <v>54</v>
      </c>
      <c r="Q1701" s="10" t="s">
        <v>8323</v>
      </c>
      <c r="R1701" s="10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30</v>
      </c>
      <c r="V1701">
        <f t="shared" si="161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 s="8">
        <f t="shared" si="157"/>
        <v>65.97</v>
      </c>
      <c r="Q1702" s="10" t="s">
        <v>8323</v>
      </c>
      <c r="R1702" s="10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30</v>
      </c>
      <c r="V1702">
        <f t="shared" si="161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 s="8">
        <f t="shared" si="157"/>
        <v>5</v>
      </c>
      <c r="Q1703" s="10" t="s">
        <v>8323</v>
      </c>
      <c r="R1703" s="10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30</v>
      </c>
      <c r="V1703">
        <f t="shared" si="161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 s="8">
        <f t="shared" si="157"/>
        <v>1</v>
      </c>
      <c r="Q1704" s="10" t="s">
        <v>8323</v>
      </c>
      <c r="R1704" s="10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30</v>
      </c>
      <c r="V1704">
        <f t="shared" si="161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 s="8">
        <f t="shared" si="157"/>
        <v>25.5</v>
      </c>
      <c r="Q1705" s="10" t="s">
        <v>8323</v>
      </c>
      <c r="R1705" s="10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60</v>
      </c>
      <c r="V1705">
        <f t="shared" si="161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 s="8">
        <f t="shared" si="157"/>
        <v>118.36</v>
      </c>
      <c r="Q1706" s="10" t="s">
        <v>8323</v>
      </c>
      <c r="R1706" s="10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30</v>
      </c>
      <c r="V1706">
        <f t="shared" si="161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 s="8">
        <f t="shared" si="157"/>
        <v>0</v>
      </c>
      <c r="Q1707" s="10" t="s">
        <v>8323</v>
      </c>
      <c r="R1707" s="10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12</v>
      </c>
      <c r="V1707">
        <f t="shared" si="161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 s="8">
        <f t="shared" si="157"/>
        <v>0</v>
      </c>
      <c r="Q1708" s="10" t="s">
        <v>8323</v>
      </c>
      <c r="R1708" s="10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60</v>
      </c>
      <c r="V1708">
        <f t="shared" si="161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 s="8">
        <f t="shared" si="157"/>
        <v>54.11</v>
      </c>
      <c r="Q1709" s="10" t="s">
        <v>8323</v>
      </c>
      <c r="R1709" s="10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30</v>
      </c>
      <c r="V1709">
        <f t="shared" si="161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 s="8">
        <f t="shared" si="157"/>
        <v>0</v>
      </c>
      <c r="Q1710" s="10" t="s">
        <v>8323</v>
      </c>
      <c r="R1710" s="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40</v>
      </c>
      <c r="V1710">
        <f t="shared" si="161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 s="8">
        <f t="shared" si="157"/>
        <v>21.25</v>
      </c>
      <c r="Q1711" s="10" t="s">
        <v>8323</v>
      </c>
      <c r="R1711" s="10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41</v>
      </c>
      <c r="V1711">
        <f t="shared" si="161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 s="8">
        <f t="shared" si="157"/>
        <v>34</v>
      </c>
      <c r="Q1712" s="10" t="s">
        <v>8323</v>
      </c>
      <c r="R1712" s="10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46</v>
      </c>
      <c r="V1712">
        <f t="shared" si="161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 s="8">
        <f t="shared" si="157"/>
        <v>525</v>
      </c>
      <c r="Q1713" s="10" t="s">
        <v>8323</v>
      </c>
      <c r="R1713" s="10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31</v>
      </c>
      <c r="V1713">
        <f t="shared" si="161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 s="8">
        <f t="shared" si="157"/>
        <v>0</v>
      </c>
      <c r="Q1714" s="10" t="s">
        <v>8323</v>
      </c>
      <c r="R1714" s="10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60</v>
      </c>
      <c r="V1714">
        <f t="shared" si="161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 s="8">
        <f t="shared" si="157"/>
        <v>50</v>
      </c>
      <c r="Q1715" s="10" t="s">
        <v>8323</v>
      </c>
      <c r="R1715" s="10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30</v>
      </c>
      <c r="V1715">
        <f t="shared" si="161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 s="8">
        <f t="shared" si="157"/>
        <v>115.71</v>
      </c>
      <c r="Q1716" s="10" t="s">
        <v>8323</v>
      </c>
      <c r="R1716" s="10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30</v>
      </c>
      <c r="V1716">
        <f t="shared" si="161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 s="8">
        <f t="shared" si="157"/>
        <v>5.5</v>
      </c>
      <c r="Q1717" s="10" t="s">
        <v>8323</v>
      </c>
      <c r="R1717" s="10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30</v>
      </c>
      <c r="V1717">
        <f t="shared" si="161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 s="8">
        <f t="shared" si="157"/>
        <v>50</v>
      </c>
      <c r="Q1718" s="10" t="s">
        <v>8323</v>
      </c>
      <c r="R1718" s="10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40</v>
      </c>
      <c r="V1718">
        <f t="shared" si="161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 s="8">
        <f t="shared" si="157"/>
        <v>34.020000000000003</v>
      </c>
      <c r="Q1719" s="10" t="s">
        <v>8323</v>
      </c>
      <c r="R1719" s="10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</v>
      </c>
      <c r="V1719">
        <f t="shared" si="161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 s="8">
        <f t="shared" si="157"/>
        <v>37.5</v>
      </c>
      <c r="Q1720" s="10" t="s">
        <v>8323</v>
      </c>
      <c r="R1720" s="1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44</v>
      </c>
      <c r="V1720">
        <f t="shared" si="161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 s="8">
        <f t="shared" si="157"/>
        <v>11.67</v>
      </c>
      <c r="Q1721" s="10" t="s">
        <v>8323</v>
      </c>
      <c r="R1721" s="10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30</v>
      </c>
      <c r="V1721">
        <f t="shared" si="161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 s="8">
        <f t="shared" si="157"/>
        <v>28.13</v>
      </c>
      <c r="Q1722" s="10" t="s">
        <v>8323</v>
      </c>
      <c r="R1722" s="10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30</v>
      </c>
      <c r="V1722">
        <f t="shared" si="161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 s="8">
        <f t="shared" si="157"/>
        <v>0</v>
      </c>
      <c r="Q1723" s="10" t="s">
        <v>8323</v>
      </c>
      <c r="R1723" s="10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30</v>
      </c>
      <c r="V1723">
        <f t="shared" si="161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 s="8">
        <f t="shared" si="157"/>
        <v>1</v>
      </c>
      <c r="Q1724" s="10" t="s">
        <v>8323</v>
      </c>
      <c r="R1724" s="10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37</v>
      </c>
      <c r="V1724">
        <f t="shared" si="161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 s="8">
        <f t="shared" si="157"/>
        <v>216.67</v>
      </c>
      <c r="Q1725" s="10" t="s">
        <v>8323</v>
      </c>
      <c r="R1725" s="10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56</v>
      </c>
      <c r="V1725">
        <f t="shared" si="161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 s="8">
        <f t="shared" si="157"/>
        <v>8.75</v>
      </c>
      <c r="Q1726" s="10" t="s">
        <v>8323</v>
      </c>
      <c r="R1726" s="10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30</v>
      </c>
      <c r="V1726">
        <f t="shared" si="161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 s="8">
        <f t="shared" si="157"/>
        <v>62.22</v>
      </c>
      <c r="Q1727" s="10" t="s">
        <v>8323</v>
      </c>
      <c r="R1727" s="10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30</v>
      </c>
      <c r="V1727">
        <f t="shared" si="161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 s="8">
        <f t="shared" si="157"/>
        <v>137.25</v>
      </c>
      <c r="Q1728" s="10" t="s">
        <v>8323</v>
      </c>
      <c r="R1728" s="10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29</v>
      </c>
      <c r="V1728">
        <f t="shared" si="161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 s="8">
        <f t="shared" si="157"/>
        <v>1</v>
      </c>
      <c r="Q1729" s="10" t="s">
        <v>8323</v>
      </c>
      <c r="R1729" s="10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55</v>
      </c>
      <c r="V1729">
        <f t="shared" si="161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ROUND((E1730/D1730)*100, 0)</f>
        <v>68</v>
      </c>
      <c r="P1730" s="8">
        <f t="shared" ref="P1730:P1793" si="163">IFERROR(ROUND(E1730/L1730, 2), 0)</f>
        <v>122.14</v>
      </c>
      <c r="Q1730" s="10" t="s">
        <v>8323</v>
      </c>
      <c r="R1730" s="10" t="s">
        <v>8345</v>
      </c>
      <c r="S1730" s="16">
        <f t="shared" ref="S1730:S1793" si="164">(J1730/60/60/24)+DATE(1970, 1, 1)</f>
        <v>42268.625856481478</v>
      </c>
      <c r="T1730" s="16">
        <f t="shared" ref="T1730:T1793" si="165">(I1730/60/60/24)+DATE(1970, 1, 1)</f>
        <v>42298.625856481478</v>
      </c>
      <c r="U1730">
        <f t="shared" si="160"/>
        <v>30</v>
      </c>
      <c r="V1730">
        <f t="shared" si="161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 s="8">
        <f t="shared" si="163"/>
        <v>0</v>
      </c>
      <c r="Q1731" s="10" t="s">
        <v>8323</v>
      </c>
      <c r="R1731" s="10" t="s">
        <v>8345</v>
      </c>
      <c r="S1731" s="16">
        <f t="shared" si="164"/>
        <v>42471.052152777775</v>
      </c>
      <c r="T1731" s="16">
        <f t="shared" si="165"/>
        <v>42531.052152777775</v>
      </c>
      <c r="U1731">
        <f t="shared" ref="U1731:U1794" si="166">ROUND(T1731-S1731, 0)</f>
        <v>60</v>
      </c>
      <c r="V1731">
        <f t="shared" ref="V1731:V1794" si="167">YEAR($S1731)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 s="8">
        <f t="shared" si="163"/>
        <v>0</v>
      </c>
      <c r="Q1732" s="10" t="s">
        <v>8323</v>
      </c>
      <c r="R1732" s="10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30</v>
      </c>
      <c r="V1732">
        <f t="shared" si="167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 s="8">
        <f t="shared" si="163"/>
        <v>0</v>
      </c>
      <c r="Q1733" s="10" t="s">
        <v>8323</v>
      </c>
      <c r="R1733" s="10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14</v>
      </c>
      <c r="V1733">
        <f t="shared" si="167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 s="8">
        <f t="shared" si="163"/>
        <v>0</v>
      </c>
      <c r="Q1734" s="10" t="s">
        <v>8323</v>
      </c>
      <c r="R1734" s="10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60</v>
      </c>
      <c r="V1734">
        <f t="shared" si="167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 s="8">
        <f t="shared" si="163"/>
        <v>0</v>
      </c>
      <c r="Q1735" s="10" t="s">
        <v>8323</v>
      </c>
      <c r="R1735" s="10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12</v>
      </c>
      <c r="V1735">
        <f t="shared" si="167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 s="8">
        <f t="shared" si="163"/>
        <v>1</v>
      </c>
      <c r="Q1736" s="10" t="s">
        <v>8323</v>
      </c>
      <c r="R1736" s="10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30</v>
      </c>
      <c r="V1736">
        <f t="shared" si="167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 s="8">
        <f t="shared" si="163"/>
        <v>55</v>
      </c>
      <c r="Q1737" s="10" t="s">
        <v>8323</v>
      </c>
      <c r="R1737" s="10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30</v>
      </c>
      <c r="V1737">
        <f t="shared" si="167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 s="8">
        <f t="shared" si="163"/>
        <v>22</v>
      </c>
      <c r="Q1738" s="10" t="s">
        <v>8323</v>
      </c>
      <c r="R1738" s="10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30</v>
      </c>
      <c r="V1738">
        <f t="shared" si="167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 s="8">
        <f t="shared" si="163"/>
        <v>56.67</v>
      </c>
      <c r="Q1739" s="10" t="s">
        <v>8323</v>
      </c>
      <c r="R1739" s="10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30</v>
      </c>
      <c r="V1739">
        <f t="shared" si="167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 s="8">
        <f t="shared" si="163"/>
        <v>20</v>
      </c>
      <c r="Q1740" s="10" t="s">
        <v>8323</v>
      </c>
      <c r="R1740" s="1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30</v>
      </c>
      <c r="V1740">
        <f t="shared" si="167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 s="8">
        <f t="shared" si="163"/>
        <v>1</v>
      </c>
      <c r="Q1741" s="10" t="s">
        <v>8323</v>
      </c>
      <c r="R1741" s="10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59</v>
      </c>
      <c r="V1741">
        <f t="shared" si="167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 s="8">
        <f t="shared" si="163"/>
        <v>0</v>
      </c>
      <c r="Q1742" s="10" t="s">
        <v>8323</v>
      </c>
      <c r="R1742" s="10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30</v>
      </c>
      <c r="V1742">
        <f t="shared" si="167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 s="8">
        <f t="shared" si="163"/>
        <v>25.58</v>
      </c>
      <c r="Q1743" s="10" t="s">
        <v>8336</v>
      </c>
      <c r="R1743" s="10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45</v>
      </c>
      <c r="V1743">
        <f t="shared" si="167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 s="8">
        <f t="shared" si="163"/>
        <v>63.97</v>
      </c>
      <c r="Q1744" s="10" t="s">
        <v>8336</v>
      </c>
      <c r="R1744" s="10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32</v>
      </c>
      <c r="V1744">
        <f t="shared" si="167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 s="8">
        <f t="shared" si="163"/>
        <v>89.93</v>
      </c>
      <c r="Q1745" s="10" t="s">
        <v>8336</v>
      </c>
      <c r="R1745" s="10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22</v>
      </c>
      <c r="V1745">
        <f t="shared" si="167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 s="8">
        <f t="shared" si="163"/>
        <v>93.07</v>
      </c>
      <c r="Q1746" s="10" t="s">
        <v>8336</v>
      </c>
      <c r="R1746" s="10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45</v>
      </c>
      <c r="V1746">
        <f t="shared" si="167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 s="8">
        <f t="shared" si="163"/>
        <v>89.67</v>
      </c>
      <c r="Q1747" s="10" t="s">
        <v>8336</v>
      </c>
      <c r="R1747" s="10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36</v>
      </c>
      <c r="V1747">
        <f t="shared" si="167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 s="8">
        <f t="shared" si="163"/>
        <v>207.62</v>
      </c>
      <c r="Q1748" s="10" t="s">
        <v>8336</v>
      </c>
      <c r="R1748" s="10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30</v>
      </c>
      <c r="V1748">
        <f t="shared" si="167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 s="8">
        <f t="shared" si="163"/>
        <v>59.41</v>
      </c>
      <c r="Q1749" s="10" t="s">
        <v>8336</v>
      </c>
      <c r="R1749" s="10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29</v>
      </c>
      <c r="V1749">
        <f t="shared" si="167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 s="8">
        <f t="shared" si="163"/>
        <v>358.97</v>
      </c>
      <c r="Q1750" s="10" t="s">
        <v>8336</v>
      </c>
      <c r="R1750" s="1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30</v>
      </c>
      <c r="V1750">
        <f t="shared" si="167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 s="8">
        <f t="shared" si="163"/>
        <v>94.74</v>
      </c>
      <c r="Q1751" s="10" t="s">
        <v>8336</v>
      </c>
      <c r="R1751" s="10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37</v>
      </c>
      <c r="V1751">
        <f t="shared" si="167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 s="8">
        <f t="shared" si="163"/>
        <v>80.650000000000006</v>
      </c>
      <c r="Q1752" s="10" t="s">
        <v>8336</v>
      </c>
      <c r="R1752" s="10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25</v>
      </c>
      <c r="V1752">
        <f t="shared" si="167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 s="8">
        <f t="shared" si="163"/>
        <v>168.69</v>
      </c>
      <c r="Q1753" s="10" t="s">
        <v>8336</v>
      </c>
      <c r="R1753" s="10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30</v>
      </c>
      <c r="V1753">
        <f t="shared" si="167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 s="8">
        <f t="shared" si="163"/>
        <v>34.69</v>
      </c>
      <c r="Q1754" s="10" t="s">
        <v>8336</v>
      </c>
      <c r="R1754" s="10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30</v>
      </c>
      <c r="V1754">
        <f t="shared" si="167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 s="8">
        <f t="shared" si="163"/>
        <v>462.86</v>
      </c>
      <c r="Q1755" s="10" t="s">
        <v>8336</v>
      </c>
      <c r="R1755" s="10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30</v>
      </c>
      <c r="V1755">
        <f t="shared" si="167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 s="8">
        <f t="shared" si="163"/>
        <v>104.39</v>
      </c>
      <c r="Q1756" s="10" t="s">
        <v>8336</v>
      </c>
      <c r="R1756" s="10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30</v>
      </c>
      <c r="V1756">
        <f t="shared" si="167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 s="8">
        <f t="shared" si="163"/>
        <v>7.5</v>
      </c>
      <c r="Q1757" s="10" t="s">
        <v>8336</v>
      </c>
      <c r="R1757" s="10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30</v>
      </c>
      <c r="V1757">
        <f t="shared" si="167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 s="8">
        <f t="shared" si="163"/>
        <v>47.13</v>
      </c>
      <c r="Q1758" s="10" t="s">
        <v>8336</v>
      </c>
      <c r="R1758" s="10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40</v>
      </c>
      <c r="V1758">
        <f t="shared" si="167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 s="8">
        <f t="shared" si="163"/>
        <v>414.29</v>
      </c>
      <c r="Q1759" s="10" t="s">
        <v>8336</v>
      </c>
      <c r="R1759" s="10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30</v>
      </c>
      <c r="V1759">
        <f t="shared" si="167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 s="8">
        <f t="shared" si="163"/>
        <v>42.48</v>
      </c>
      <c r="Q1760" s="10" t="s">
        <v>8336</v>
      </c>
      <c r="R1760" s="1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60</v>
      </c>
      <c r="V1760">
        <f t="shared" si="167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 s="8">
        <f t="shared" si="163"/>
        <v>108.78</v>
      </c>
      <c r="Q1761" s="10" t="s">
        <v>8336</v>
      </c>
      <c r="R1761" s="10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20</v>
      </c>
      <c r="V1761">
        <f t="shared" si="167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 s="8">
        <f t="shared" si="163"/>
        <v>81.099999999999994</v>
      </c>
      <c r="Q1762" s="10" t="s">
        <v>8336</v>
      </c>
      <c r="R1762" s="10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</v>
      </c>
      <c r="V1762">
        <f t="shared" si="167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 s="8">
        <f t="shared" si="163"/>
        <v>51.67</v>
      </c>
      <c r="Q1763" s="10" t="s">
        <v>8336</v>
      </c>
      <c r="R1763" s="10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50</v>
      </c>
      <c r="V1763">
        <f t="shared" si="167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 s="8">
        <f t="shared" si="163"/>
        <v>35.4</v>
      </c>
      <c r="Q1764" s="10" t="s">
        <v>8336</v>
      </c>
      <c r="R1764" s="10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30</v>
      </c>
      <c r="V1764">
        <f t="shared" si="167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 s="8">
        <f t="shared" si="163"/>
        <v>103.64</v>
      </c>
      <c r="Q1765" s="10" t="s">
        <v>8336</v>
      </c>
      <c r="R1765" s="10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30</v>
      </c>
      <c r="V1765">
        <f t="shared" si="167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 s="8">
        <f t="shared" si="163"/>
        <v>55.28</v>
      </c>
      <c r="Q1766" s="10" t="s">
        <v>8336</v>
      </c>
      <c r="R1766" s="10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29</v>
      </c>
      <c r="V1766">
        <f t="shared" si="167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 s="8">
        <f t="shared" si="163"/>
        <v>72.17</v>
      </c>
      <c r="Q1767" s="10" t="s">
        <v>8336</v>
      </c>
      <c r="R1767" s="10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30</v>
      </c>
      <c r="V1767">
        <f t="shared" si="167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 s="8">
        <f t="shared" si="163"/>
        <v>0</v>
      </c>
      <c r="Q1768" s="10" t="s">
        <v>8336</v>
      </c>
      <c r="R1768" s="10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21</v>
      </c>
      <c r="V1768">
        <f t="shared" si="167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 s="8">
        <f t="shared" si="163"/>
        <v>58.62</v>
      </c>
      <c r="Q1769" s="10" t="s">
        <v>8336</v>
      </c>
      <c r="R1769" s="10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30</v>
      </c>
      <c r="V1769">
        <f t="shared" si="167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 s="8">
        <f t="shared" si="163"/>
        <v>12.47</v>
      </c>
      <c r="Q1770" s="10" t="s">
        <v>8336</v>
      </c>
      <c r="R1770" s="1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60</v>
      </c>
      <c r="V1770">
        <f t="shared" si="167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 s="8">
        <f t="shared" si="163"/>
        <v>49.14</v>
      </c>
      <c r="Q1771" s="10" t="s">
        <v>8336</v>
      </c>
      <c r="R1771" s="10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30</v>
      </c>
      <c r="V1771">
        <f t="shared" si="167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 s="8">
        <f t="shared" si="163"/>
        <v>150.5</v>
      </c>
      <c r="Q1772" s="10" t="s">
        <v>8336</v>
      </c>
      <c r="R1772" s="10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35</v>
      </c>
      <c r="V1772">
        <f t="shared" si="167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 s="8">
        <f t="shared" si="163"/>
        <v>35.799999999999997</v>
      </c>
      <c r="Q1773" s="10" t="s">
        <v>8336</v>
      </c>
      <c r="R1773" s="10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30</v>
      </c>
      <c r="V1773">
        <f t="shared" si="167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 s="8">
        <f t="shared" si="163"/>
        <v>45.16</v>
      </c>
      <c r="Q1774" s="10" t="s">
        <v>8336</v>
      </c>
      <c r="R1774" s="10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60</v>
      </c>
      <c r="V1774">
        <f t="shared" si="167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 s="8">
        <f t="shared" si="163"/>
        <v>98.79</v>
      </c>
      <c r="Q1775" s="10" t="s">
        <v>8336</v>
      </c>
      <c r="R1775" s="10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45</v>
      </c>
      <c r="V1775">
        <f t="shared" si="167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 s="8">
        <f t="shared" si="163"/>
        <v>88.31</v>
      </c>
      <c r="Q1776" s="10" t="s">
        <v>8336</v>
      </c>
      <c r="R1776" s="10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42</v>
      </c>
      <c r="V1776">
        <f t="shared" si="167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 s="8">
        <f t="shared" si="163"/>
        <v>170.63</v>
      </c>
      <c r="Q1777" s="10" t="s">
        <v>8336</v>
      </c>
      <c r="R1777" s="10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45</v>
      </c>
      <c r="V1777">
        <f t="shared" si="167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 s="8">
        <f t="shared" si="163"/>
        <v>83.75</v>
      </c>
      <c r="Q1778" s="10" t="s">
        <v>8336</v>
      </c>
      <c r="R1778" s="10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36</v>
      </c>
      <c r="V1778">
        <f t="shared" si="167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 s="8">
        <f t="shared" si="163"/>
        <v>65.099999999999994</v>
      </c>
      <c r="Q1779" s="10" t="s">
        <v>8336</v>
      </c>
      <c r="R1779" s="10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30</v>
      </c>
      <c r="V1779">
        <f t="shared" si="167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 s="8">
        <f t="shared" si="163"/>
        <v>66.33</v>
      </c>
      <c r="Q1780" s="10" t="s">
        <v>8336</v>
      </c>
      <c r="R1780" s="1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45</v>
      </c>
      <c r="V1780">
        <f t="shared" si="167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 s="8">
        <f t="shared" si="163"/>
        <v>104.89</v>
      </c>
      <c r="Q1781" s="10" t="s">
        <v>8336</v>
      </c>
      <c r="R1781" s="10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30</v>
      </c>
      <c r="V1781">
        <f t="shared" si="167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 s="8">
        <f t="shared" si="163"/>
        <v>78.44</v>
      </c>
      <c r="Q1782" s="10" t="s">
        <v>8336</v>
      </c>
      <c r="R1782" s="10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60</v>
      </c>
      <c r="V1782">
        <f t="shared" si="167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 s="8">
        <f t="shared" si="163"/>
        <v>59.04</v>
      </c>
      <c r="Q1783" s="10" t="s">
        <v>8336</v>
      </c>
      <c r="R1783" s="10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31</v>
      </c>
      <c r="V1783">
        <f t="shared" si="167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 s="8">
        <f t="shared" si="163"/>
        <v>71.34</v>
      </c>
      <c r="Q1784" s="10" t="s">
        <v>8336</v>
      </c>
      <c r="R1784" s="10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33</v>
      </c>
      <c r="V1784">
        <f t="shared" si="167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 s="8">
        <f t="shared" si="163"/>
        <v>51.23</v>
      </c>
      <c r="Q1785" s="10" t="s">
        <v>8336</v>
      </c>
      <c r="R1785" s="10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30</v>
      </c>
      <c r="V1785">
        <f t="shared" si="167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 s="8">
        <f t="shared" si="163"/>
        <v>60.24</v>
      </c>
      <c r="Q1786" s="10" t="s">
        <v>8336</v>
      </c>
      <c r="R1786" s="10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31</v>
      </c>
      <c r="V1786">
        <f t="shared" si="167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 s="8">
        <f t="shared" si="163"/>
        <v>44.94</v>
      </c>
      <c r="Q1787" s="10" t="s">
        <v>8336</v>
      </c>
      <c r="R1787" s="10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31</v>
      </c>
      <c r="V1787">
        <f t="shared" si="167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 s="8">
        <f t="shared" si="163"/>
        <v>31.21</v>
      </c>
      <c r="Q1788" s="10" t="s">
        <v>8336</v>
      </c>
      <c r="R1788" s="10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30</v>
      </c>
      <c r="V1788">
        <f t="shared" si="167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 s="8">
        <f t="shared" si="163"/>
        <v>63.88</v>
      </c>
      <c r="Q1789" s="10" t="s">
        <v>8336</v>
      </c>
      <c r="R1789" s="10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30</v>
      </c>
      <c r="V1789">
        <f t="shared" si="167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 s="8">
        <f t="shared" si="163"/>
        <v>19</v>
      </c>
      <c r="Q1790" s="10" t="s">
        <v>8336</v>
      </c>
      <c r="R1790" s="1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30</v>
      </c>
      <c r="V1790">
        <f t="shared" si="167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 s="8">
        <f t="shared" si="163"/>
        <v>10</v>
      </c>
      <c r="Q1791" s="10" t="s">
        <v>8336</v>
      </c>
      <c r="R1791" s="10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60</v>
      </c>
      <c r="V1791">
        <f t="shared" si="167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 s="8">
        <f t="shared" si="163"/>
        <v>109.07</v>
      </c>
      <c r="Q1792" s="10" t="s">
        <v>8336</v>
      </c>
      <c r="R1792" s="10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30</v>
      </c>
      <c r="V1792">
        <f t="shared" si="167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 s="8">
        <f t="shared" si="163"/>
        <v>26.75</v>
      </c>
      <c r="Q1793" s="10" t="s">
        <v>8336</v>
      </c>
      <c r="R1793" s="10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60</v>
      </c>
      <c r="V1793">
        <f t="shared" si="167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ROUND((E1794/D1794)*100, 0)</f>
        <v>61</v>
      </c>
      <c r="P1794" s="8">
        <f t="shared" ref="P1794:P1857" si="169">IFERROR(ROUND(E1794/L1794, 2), 0)</f>
        <v>109.94</v>
      </c>
      <c r="Q1794" s="10" t="s">
        <v>8336</v>
      </c>
      <c r="R1794" s="10" t="s">
        <v>8337</v>
      </c>
      <c r="S1794" s="16">
        <f t="shared" ref="S1794:S1857" si="170">(J1794/60/60/24)+DATE(1970, 1, 1)</f>
        <v>42189.031041666662</v>
      </c>
      <c r="T1794" s="16">
        <f t="shared" ref="T1794:T1857" si="171">(I1794/60/60/24)+DATE(1970, 1, 1)</f>
        <v>42226.290972222225</v>
      </c>
      <c r="U1794">
        <f t="shared" si="166"/>
        <v>37</v>
      </c>
      <c r="V1794">
        <f t="shared" si="167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 s="8">
        <f t="shared" si="169"/>
        <v>20</v>
      </c>
      <c r="Q1795" s="10" t="s">
        <v>8336</v>
      </c>
      <c r="R1795" s="10" t="s">
        <v>8337</v>
      </c>
      <c r="S1795" s="16">
        <f t="shared" si="170"/>
        <v>41940.89166666667</v>
      </c>
      <c r="T1795" s="16">
        <f t="shared" si="171"/>
        <v>41970.933333333334</v>
      </c>
      <c r="U1795">
        <f t="shared" ref="U1795:U1858" si="172">ROUND(T1795-S1795, 0)</f>
        <v>30</v>
      </c>
      <c r="V1795">
        <f t="shared" ref="V1795:V1858" si="173">YEAR($S1795)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 s="8">
        <f t="shared" si="169"/>
        <v>55.39</v>
      </c>
      <c r="Q1796" s="10" t="s">
        <v>8336</v>
      </c>
      <c r="R1796" s="10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35</v>
      </c>
      <c r="V1796">
        <f t="shared" si="173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 s="8">
        <f t="shared" si="169"/>
        <v>133.9</v>
      </c>
      <c r="Q1797" s="10" t="s">
        <v>8336</v>
      </c>
      <c r="R1797" s="10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29</v>
      </c>
      <c r="V1797">
        <f t="shared" si="173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 s="8">
        <f t="shared" si="169"/>
        <v>48.72</v>
      </c>
      <c r="Q1798" s="10" t="s">
        <v>8336</v>
      </c>
      <c r="R1798" s="10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60</v>
      </c>
      <c r="V1798">
        <f t="shared" si="173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 s="8">
        <f t="shared" si="169"/>
        <v>48.25</v>
      </c>
      <c r="Q1799" s="10" t="s">
        <v>8336</v>
      </c>
      <c r="R1799" s="10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30</v>
      </c>
      <c r="V1799">
        <f t="shared" si="173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 s="8">
        <f t="shared" si="169"/>
        <v>58.97</v>
      </c>
      <c r="Q1800" s="10" t="s">
        <v>8336</v>
      </c>
      <c r="R1800" s="1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60</v>
      </c>
      <c r="V1800">
        <f t="shared" si="173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 s="8">
        <f t="shared" si="169"/>
        <v>11.64</v>
      </c>
      <c r="Q1801" s="10" t="s">
        <v>8336</v>
      </c>
      <c r="R1801" s="10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</v>
      </c>
      <c r="V1801">
        <f t="shared" si="173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 s="8">
        <f t="shared" si="169"/>
        <v>83.72</v>
      </c>
      <c r="Q1802" s="10" t="s">
        <v>8336</v>
      </c>
      <c r="R1802" s="10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30</v>
      </c>
      <c r="V1802">
        <f t="shared" si="173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 s="8">
        <f t="shared" si="169"/>
        <v>63.65</v>
      </c>
      <c r="Q1803" s="10" t="s">
        <v>8336</v>
      </c>
      <c r="R1803" s="10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32</v>
      </c>
      <c r="V1803">
        <f t="shared" si="173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 s="8">
        <f t="shared" si="169"/>
        <v>94.28</v>
      </c>
      <c r="Q1804" s="10" t="s">
        <v>8336</v>
      </c>
      <c r="R1804" s="10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23</v>
      </c>
      <c r="V1804">
        <f t="shared" si="173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 s="8">
        <f t="shared" si="169"/>
        <v>71.87</v>
      </c>
      <c r="Q1805" s="10" t="s">
        <v>8336</v>
      </c>
      <c r="R1805" s="10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31</v>
      </c>
      <c r="V1805">
        <f t="shared" si="173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 s="8">
        <f t="shared" si="169"/>
        <v>104.85</v>
      </c>
      <c r="Q1806" s="10" t="s">
        <v>8336</v>
      </c>
      <c r="R1806" s="10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40</v>
      </c>
      <c r="V1806">
        <f t="shared" si="173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 s="8">
        <f t="shared" si="169"/>
        <v>67.14</v>
      </c>
      <c r="Q1807" s="10" t="s">
        <v>8336</v>
      </c>
      <c r="R1807" s="10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32</v>
      </c>
      <c r="V1807">
        <f t="shared" si="173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 s="8">
        <f t="shared" si="169"/>
        <v>73.88</v>
      </c>
      <c r="Q1808" s="10" t="s">
        <v>8336</v>
      </c>
      <c r="R1808" s="10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35</v>
      </c>
      <c r="V1808">
        <f t="shared" si="173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 s="8">
        <f t="shared" si="169"/>
        <v>69.13</v>
      </c>
      <c r="Q1809" s="10" t="s">
        <v>8336</v>
      </c>
      <c r="R1809" s="10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30</v>
      </c>
      <c r="V1809">
        <f t="shared" si="173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 s="8">
        <f t="shared" si="169"/>
        <v>120.77</v>
      </c>
      <c r="Q1810" s="10" t="s">
        <v>8336</v>
      </c>
      <c r="R1810" s="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35</v>
      </c>
      <c r="V1810">
        <f t="shared" si="173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 s="8">
        <f t="shared" si="169"/>
        <v>42.22</v>
      </c>
      <c r="Q1811" s="10" t="s">
        <v>8336</v>
      </c>
      <c r="R1811" s="10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35</v>
      </c>
      <c r="V1811">
        <f t="shared" si="173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 s="8">
        <f t="shared" si="169"/>
        <v>7.5</v>
      </c>
      <c r="Q1812" s="10" t="s">
        <v>8336</v>
      </c>
      <c r="R1812" s="10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12</v>
      </c>
      <c r="V1812">
        <f t="shared" si="173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 s="8">
        <f t="shared" si="169"/>
        <v>1.54</v>
      </c>
      <c r="Q1813" s="10" t="s">
        <v>8336</v>
      </c>
      <c r="R1813" s="10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60</v>
      </c>
      <c r="V1813">
        <f t="shared" si="173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 s="8">
        <f t="shared" si="169"/>
        <v>37.61</v>
      </c>
      <c r="Q1814" s="10" t="s">
        <v>8336</v>
      </c>
      <c r="R1814" s="10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30</v>
      </c>
      <c r="V1814">
        <f t="shared" si="173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 s="8">
        <f t="shared" si="169"/>
        <v>0</v>
      </c>
      <c r="Q1815" s="10" t="s">
        <v>8336</v>
      </c>
      <c r="R1815" s="10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30</v>
      </c>
      <c r="V1815">
        <f t="shared" si="173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 s="8">
        <f t="shared" si="169"/>
        <v>42.16</v>
      </c>
      <c r="Q1816" s="10" t="s">
        <v>8336</v>
      </c>
      <c r="R1816" s="10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30</v>
      </c>
      <c r="V1816">
        <f t="shared" si="173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 s="8">
        <f t="shared" si="169"/>
        <v>0</v>
      </c>
      <c r="Q1817" s="10" t="s">
        <v>8336</v>
      </c>
      <c r="R1817" s="10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14</v>
      </c>
      <c r="V1817">
        <f t="shared" si="173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 s="8">
        <f t="shared" si="169"/>
        <v>84.83</v>
      </c>
      <c r="Q1818" s="10" t="s">
        <v>8336</v>
      </c>
      <c r="R1818" s="10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28</v>
      </c>
      <c r="V1818">
        <f t="shared" si="173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 s="8">
        <f t="shared" si="169"/>
        <v>94.19</v>
      </c>
      <c r="Q1819" s="10" t="s">
        <v>8336</v>
      </c>
      <c r="R1819" s="10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60</v>
      </c>
      <c r="V1819">
        <f t="shared" si="173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 s="8">
        <f t="shared" si="169"/>
        <v>0</v>
      </c>
      <c r="Q1820" s="10" t="s">
        <v>8336</v>
      </c>
      <c r="R1820" s="1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30</v>
      </c>
      <c r="V1820">
        <f t="shared" si="173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 s="8">
        <f t="shared" si="169"/>
        <v>6.25</v>
      </c>
      <c r="Q1821" s="10" t="s">
        <v>8336</v>
      </c>
      <c r="R1821" s="10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30</v>
      </c>
      <c r="V1821">
        <f t="shared" si="173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 s="8">
        <f t="shared" si="169"/>
        <v>213.38</v>
      </c>
      <c r="Q1822" s="10" t="s">
        <v>8336</v>
      </c>
      <c r="R1822" s="10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30</v>
      </c>
      <c r="V1822">
        <f t="shared" si="173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 s="8">
        <f t="shared" si="169"/>
        <v>59.16</v>
      </c>
      <c r="Q1823" s="10" t="s">
        <v>8323</v>
      </c>
      <c r="R1823" s="10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45</v>
      </c>
      <c r="V1823">
        <f t="shared" si="173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 s="8">
        <f t="shared" si="169"/>
        <v>27.27</v>
      </c>
      <c r="Q1824" s="10" t="s">
        <v>8323</v>
      </c>
      <c r="R1824" s="10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36</v>
      </c>
      <c r="V1824">
        <f t="shared" si="173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 s="8">
        <f t="shared" si="169"/>
        <v>24.58</v>
      </c>
      <c r="Q1825" s="10" t="s">
        <v>8323</v>
      </c>
      <c r="R1825" s="10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30</v>
      </c>
      <c r="V1825">
        <f t="shared" si="173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 s="8">
        <f t="shared" si="169"/>
        <v>75.05</v>
      </c>
      <c r="Q1826" s="10" t="s">
        <v>8323</v>
      </c>
      <c r="R1826" s="10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</v>
      </c>
      <c r="V1826">
        <f t="shared" si="173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 s="8">
        <f t="shared" si="169"/>
        <v>42.02</v>
      </c>
      <c r="Q1827" s="10" t="s">
        <v>8323</v>
      </c>
      <c r="R1827" s="10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23</v>
      </c>
      <c r="V1827">
        <f t="shared" si="173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 s="8">
        <f t="shared" si="169"/>
        <v>53.16</v>
      </c>
      <c r="Q1828" s="10" t="s">
        <v>8323</v>
      </c>
      <c r="R1828" s="10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30</v>
      </c>
      <c r="V1828">
        <f t="shared" si="173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 s="8">
        <f t="shared" si="169"/>
        <v>83.89</v>
      </c>
      <c r="Q1829" s="10" t="s">
        <v>8323</v>
      </c>
      <c r="R1829" s="10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50</v>
      </c>
      <c r="V1829">
        <f t="shared" si="173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 s="8">
        <f t="shared" si="169"/>
        <v>417.33</v>
      </c>
      <c r="Q1830" s="10" t="s">
        <v>8323</v>
      </c>
      <c r="R1830" s="1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32</v>
      </c>
      <c r="V1830">
        <f t="shared" si="173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 s="8">
        <f t="shared" si="169"/>
        <v>75.77</v>
      </c>
      <c r="Q1831" s="10" t="s">
        <v>8323</v>
      </c>
      <c r="R1831" s="10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49</v>
      </c>
      <c r="V1831">
        <f t="shared" si="173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 s="8">
        <f t="shared" si="169"/>
        <v>67.39</v>
      </c>
      <c r="Q1832" s="10" t="s">
        <v>8323</v>
      </c>
      <c r="R1832" s="10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30</v>
      </c>
      <c r="V1832">
        <f t="shared" si="173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 s="8">
        <f t="shared" si="169"/>
        <v>73.569999999999993</v>
      </c>
      <c r="Q1833" s="10" t="s">
        <v>8323</v>
      </c>
      <c r="R1833" s="10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15</v>
      </c>
      <c r="V1833">
        <f t="shared" si="173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 s="8">
        <f t="shared" si="169"/>
        <v>25</v>
      </c>
      <c r="Q1834" s="10" t="s">
        <v>8323</v>
      </c>
      <c r="R1834" s="10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30</v>
      </c>
      <c r="V1834">
        <f t="shared" si="173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 s="8">
        <f t="shared" si="169"/>
        <v>42</v>
      </c>
      <c r="Q1835" s="10" t="s">
        <v>8323</v>
      </c>
      <c r="R1835" s="10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32</v>
      </c>
      <c r="V1835">
        <f t="shared" si="173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 s="8">
        <f t="shared" si="169"/>
        <v>131.16999999999999</v>
      </c>
      <c r="Q1836" s="10" t="s">
        <v>8323</v>
      </c>
      <c r="R1836" s="10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40</v>
      </c>
      <c r="V1836">
        <f t="shared" si="173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 s="8">
        <f t="shared" si="169"/>
        <v>47.27</v>
      </c>
      <c r="Q1837" s="10" t="s">
        <v>8323</v>
      </c>
      <c r="R1837" s="10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30</v>
      </c>
      <c r="V1837">
        <f t="shared" si="173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 s="8">
        <f t="shared" si="169"/>
        <v>182.13</v>
      </c>
      <c r="Q1838" s="10" t="s">
        <v>8323</v>
      </c>
      <c r="R1838" s="10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17</v>
      </c>
      <c r="V1838">
        <f t="shared" si="173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 s="8">
        <f t="shared" si="169"/>
        <v>61.37</v>
      </c>
      <c r="Q1839" s="10" t="s">
        <v>8323</v>
      </c>
      <c r="R1839" s="10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60</v>
      </c>
      <c r="V1839">
        <f t="shared" si="173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 s="8">
        <f t="shared" si="169"/>
        <v>35.770000000000003</v>
      </c>
      <c r="Q1840" s="10" t="s">
        <v>8323</v>
      </c>
      <c r="R1840" s="1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28</v>
      </c>
      <c r="V1840">
        <f t="shared" si="173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 s="8">
        <f t="shared" si="169"/>
        <v>45.62</v>
      </c>
      <c r="Q1841" s="10" t="s">
        <v>8323</v>
      </c>
      <c r="R1841" s="10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30</v>
      </c>
      <c r="V1841">
        <f t="shared" si="173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 s="8">
        <f t="shared" si="169"/>
        <v>75.38</v>
      </c>
      <c r="Q1842" s="10" t="s">
        <v>8323</v>
      </c>
      <c r="R1842" s="10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19</v>
      </c>
      <c r="V1842">
        <f t="shared" si="173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 s="8">
        <f t="shared" si="169"/>
        <v>50.88</v>
      </c>
      <c r="Q1843" s="10" t="s">
        <v>8323</v>
      </c>
      <c r="R1843" s="10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33</v>
      </c>
      <c r="V1843">
        <f t="shared" si="173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 s="8">
        <f t="shared" si="169"/>
        <v>119.29</v>
      </c>
      <c r="Q1844" s="10" t="s">
        <v>8323</v>
      </c>
      <c r="R1844" s="10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34</v>
      </c>
      <c r="V1844">
        <f t="shared" si="173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 s="8">
        <f t="shared" si="169"/>
        <v>92.54</v>
      </c>
      <c r="Q1845" s="10" t="s">
        <v>8323</v>
      </c>
      <c r="R1845" s="10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30</v>
      </c>
      <c r="V1845">
        <f t="shared" si="173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 s="8">
        <f t="shared" si="169"/>
        <v>76.05</v>
      </c>
      <c r="Q1846" s="10" t="s">
        <v>8323</v>
      </c>
      <c r="R1846" s="10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38</v>
      </c>
      <c r="V1846">
        <f t="shared" si="173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 s="8">
        <f t="shared" si="169"/>
        <v>52.63</v>
      </c>
      <c r="Q1847" s="10" t="s">
        <v>8323</v>
      </c>
      <c r="R1847" s="10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15</v>
      </c>
      <c r="V1847">
        <f t="shared" si="173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 s="8">
        <f t="shared" si="169"/>
        <v>98.99</v>
      </c>
      <c r="Q1848" s="10" t="s">
        <v>8323</v>
      </c>
      <c r="R1848" s="10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30</v>
      </c>
      <c r="V1848">
        <f t="shared" si="173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 s="8">
        <f t="shared" si="169"/>
        <v>79.53</v>
      </c>
      <c r="Q1849" s="10" t="s">
        <v>8323</v>
      </c>
      <c r="R1849" s="10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21</v>
      </c>
      <c r="V1849">
        <f t="shared" si="173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 s="8">
        <f t="shared" si="169"/>
        <v>134.21</v>
      </c>
      <c r="Q1850" s="10" t="s">
        <v>8323</v>
      </c>
      <c r="R1850" s="1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64</v>
      </c>
      <c r="V1850">
        <f t="shared" si="173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 s="8">
        <f t="shared" si="169"/>
        <v>37.630000000000003</v>
      </c>
      <c r="Q1851" s="10" t="s">
        <v>8323</v>
      </c>
      <c r="R1851" s="10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30</v>
      </c>
      <c r="V1851">
        <f t="shared" si="173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 s="8">
        <f t="shared" si="169"/>
        <v>51.04</v>
      </c>
      <c r="Q1852" s="10" t="s">
        <v>8323</v>
      </c>
      <c r="R1852" s="10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30</v>
      </c>
      <c r="V1852">
        <f t="shared" si="173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 s="8">
        <f t="shared" si="169"/>
        <v>50.04</v>
      </c>
      <c r="Q1853" s="10" t="s">
        <v>8323</v>
      </c>
      <c r="R1853" s="10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</v>
      </c>
      <c r="V1853">
        <f t="shared" si="173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 s="8">
        <f t="shared" si="169"/>
        <v>133.93</v>
      </c>
      <c r="Q1854" s="10" t="s">
        <v>8323</v>
      </c>
      <c r="R1854" s="10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37</v>
      </c>
      <c r="V1854">
        <f t="shared" si="173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 s="8">
        <f t="shared" si="169"/>
        <v>58.21</v>
      </c>
      <c r="Q1855" s="10" t="s">
        <v>8323</v>
      </c>
      <c r="R1855" s="10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50</v>
      </c>
      <c r="V1855">
        <f t="shared" si="173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 s="8">
        <f t="shared" si="169"/>
        <v>88.04</v>
      </c>
      <c r="Q1856" s="10" t="s">
        <v>8323</v>
      </c>
      <c r="R1856" s="10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30</v>
      </c>
      <c r="V1856">
        <f t="shared" si="173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 s="8">
        <f t="shared" si="169"/>
        <v>70.58</v>
      </c>
      <c r="Q1857" s="10" t="s">
        <v>8323</v>
      </c>
      <c r="R1857" s="10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45</v>
      </c>
      <c r="V1857">
        <f t="shared" si="173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ROUND((E1858/D1858)*100, 0)</f>
        <v>101</v>
      </c>
      <c r="P1858" s="8">
        <f t="shared" ref="P1858:P1921" si="175">IFERROR(ROUND(E1858/L1858, 2), 0)</f>
        <v>53.29</v>
      </c>
      <c r="Q1858" s="10" t="s">
        <v>8323</v>
      </c>
      <c r="R1858" s="10" t="s">
        <v>8324</v>
      </c>
      <c r="S1858" s="16">
        <f t="shared" ref="S1858:S1921" si="176">(J1858/60/60/24)+DATE(1970, 1, 1)</f>
        <v>41817.854999999996</v>
      </c>
      <c r="T1858" s="16">
        <f t="shared" ref="T1858:T1921" si="177">(I1858/60/60/24)+DATE(1970, 1, 1)</f>
        <v>41838.854999999996</v>
      </c>
      <c r="U1858">
        <f t="shared" si="172"/>
        <v>21</v>
      </c>
      <c r="V1858">
        <f t="shared" si="173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 s="8">
        <f t="shared" si="175"/>
        <v>136.36000000000001</v>
      </c>
      <c r="Q1859" s="10" t="s">
        <v>8323</v>
      </c>
      <c r="R1859" s="10" t="s">
        <v>8324</v>
      </c>
      <c r="S1859" s="16">
        <f t="shared" si="176"/>
        <v>41864.76866898148</v>
      </c>
      <c r="T1859" s="16">
        <f t="shared" si="177"/>
        <v>41894.76866898148</v>
      </c>
      <c r="U1859">
        <f t="shared" ref="U1859:U1922" si="178">ROUND(T1859-S1859, 0)</f>
        <v>30</v>
      </c>
      <c r="V1859">
        <f t="shared" ref="V1859:V1922" si="179">YEAR($S1859)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 s="8">
        <f t="shared" si="175"/>
        <v>40.549999999999997</v>
      </c>
      <c r="Q1860" s="10" t="s">
        <v>8323</v>
      </c>
      <c r="R1860" s="1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60</v>
      </c>
      <c r="V1860">
        <f t="shared" si="17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 s="8">
        <f t="shared" si="175"/>
        <v>70.63</v>
      </c>
      <c r="Q1861" s="10" t="s">
        <v>8323</v>
      </c>
      <c r="R1861" s="10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30</v>
      </c>
      <c r="V1861">
        <f t="shared" si="17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 s="8">
        <f t="shared" si="175"/>
        <v>52.68</v>
      </c>
      <c r="Q1862" s="10" t="s">
        <v>8323</v>
      </c>
      <c r="R1862" s="10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21</v>
      </c>
      <c r="V1862">
        <f t="shared" si="17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 s="8">
        <f t="shared" si="175"/>
        <v>0</v>
      </c>
      <c r="Q1863" s="10" t="s">
        <v>8331</v>
      </c>
      <c r="R1863" s="10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30</v>
      </c>
      <c r="V1863">
        <f t="shared" si="17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 s="8">
        <f t="shared" si="175"/>
        <v>90.94</v>
      </c>
      <c r="Q1864" s="10" t="s">
        <v>8331</v>
      </c>
      <c r="R1864" s="10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47</v>
      </c>
      <c r="V1864">
        <f t="shared" si="17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 s="8">
        <f t="shared" si="175"/>
        <v>5</v>
      </c>
      <c r="Q1865" s="10" t="s">
        <v>8331</v>
      </c>
      <c r="R1865" s="10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30</v>
      </c>
      <c r="V1865">
        <f t="shared" si="17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 s="8">
        <f t="shared" si="175"/>
        <v>58.08</v>
      </c>
      <c r="Q1866" s="10" t="s">
        <v>8331</v>
      </c>
      <c r="R1866" s="10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30</v>
      </c>
      <c r="V1866">
        <f t="shared" si="17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 s="8">
        <f t="shared" si="175"/>
        <v>2</v>
      </c>
      <c r="Q1867" s="10" t="s">
        <v>8331</v>
      </c>
      <c r="R1867" s="10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35</v>
      </c>
      <c r="V1867">
        <f t="shared" si="17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 s="8">
        <f t="shared" si="175"/>
        <v>62.5</v>
      </c>
      <c r="Q1868" s="10" t="s">
        <v>8331</v>
      </c>
      <c r="R1868" s="10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53</v>
      </c>
      <c r="V1868">
        <f t="shared" si="17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 s="8">
        <f t="shared" si="175"/>
        <v>10</v>
      </c>
      <c r="Q1869" s="10" t="s">
        <v>8331</v>
      </c>
      <c r="R1869" s="10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30</v>
      </c>
      <c r="V1869">
        <f t="shared" si="17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 s="8">
        <f t="shared" si="175"/>
        <v>71.59</v>
      </c>
      <c r="Q1870" s="10" t="s">
        <v>8331</v>
      </c>
      <c r="R1870" s="1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25</v>
      </c>
      <c r="V1870">
        <f t="shared" si="17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 s="8">
        <f t="shared" si="175"/>
        <v>0</v>
      </c>
      <c r="Q1871" s="10" t="s">
        <v>8331</v>
      </c>
      <c r="R1871" s="10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30</v>
      </c>
      <c r="V1871">
        <f t="shared" si="17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 s="8">
        <f t="shared" si="175"/>
        <v>32.82</v>
      </c>
      <c r="Q1872" s="10" t="s">
        <v>8331</v>
      </c>
      <c r="R1872" s="10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29</v>
      </c>
      <c r="V1872">
        <f t="shared" si="17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 s="8">
        <f t="shared" si="175"/>
        <v>49.12</v>
      </c>
      <c r="Q1873" s="10" t="s">
        <v>8331</v>
      </c>
      <c r="R1873" s="10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40</v>
      </c>
      <c r="V1873">
        <f t="shared" si="17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 s="8">
        <f t="shared" si="175"/>
        <v>16.309999999999999</v>
      </c>
      <c r="Q1874" s="10" t="s">
        <v>8331</v>
      </c>
      <c r="R1874" s="10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30</v>
      </c>
      <c r="V1874">
        <f t="shared" si="17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 s="8">
        <f t="shared" si="175"/>
        <v>18</v>
      </c>
      <c r="Q1875" s="10" t="s">
        <v>8331</v>
      </c>
      <c r="R1875" s="10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29</v>
      </c>
      <c r="V1875">
        <f t="shared" si="17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 s="8">
        <f t="shared" si="175"/>
        <v>13</v>
      </c>
      <c r="Q1876" s="10" t="s">
        <v>8331</v>
      </c>
      <c r="R1876" s="10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</v>
      </c>
      <c r="V1876">
        <f t="shared" si="17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 s="8">
        <f t="shared" si="175"/>
        <v>17</v>
      </c>
      <c r="Q1877" s="10" t="s">
        <v>8331</v>
      </c>
      <c r="R1877" s="10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60</v>
      </c>
      <c r="V1877">
        <f t="shared" si="17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 s="8">
        <f t="shared" si="175"/>
        <v>0</v>
      </c>
      <c r="Q1878" s="10" t="s">
        <v>8331</v>
      </c>
      <c r="R1878" s="10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30</v>
      </c>
      <c r="V1878">
        <f t="shared" si="17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 s="8">
        <f t="shared" si="175"/>
        <v>0</v>
      </c>
      <c r="Q1879" s="10" t="s">
        <v>8331</v>
      </c>
      <c r="R1879" s="10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29</v>
      </c>
      <c r="V1879">
        <f t="shared" si="17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 s="8">
        <f t="shared" si="175"/>
        <v>0</v>
      </c>
      <c r="Q1880" s="10" t="s">
        <v>8331</v>
      </c>
      <c r="R1880" s="1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30</v>
      </c>
      <c r="V1880">
        <f t="shared" si="17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 s="8">
        <f t="shared" si="175"/>
        <v>3</v>
      </c>
      <c r="Q1881" s="10" t="s">
        <v>8331</v>
      </c>
      <c r="R1881" s="10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30</v>
      </c>
      <c r="V1881">
        <f t="shared" si="17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 s="8">
        <f t="shared" si="175"/>
        <v>41.83</v>
      </c>
      <c r="Q1882" s="10" t="s">
        <v>8331</v>
      </c>
      <c r="R1882" s="10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29</v>
      </c>
      <c r="V1882">
        <f t="shared" si="17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 s="8">
        <f t="shared" si="175"/>
        <v>49.34</v>
      </c>
      <c r="Q1883" s="10" t="s">
        <v>8323</v>
      </c>
      <c r="R1883" s="10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30</v>
      </c>
      <c r="V1883">
        <f t="shared" si="17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 s="8">
        <f t="shared" si="175"/>
        <v>41.73</v>
      </c>
      <c r="Q1884" s="10" t="s">
        <v>8323</v>
      </c>
      <c r="R1884" s="10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33</v>
      </c>
      <c r="V1884">
        <f t="shared" si="17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 s="8">
        <f t="shared" si="175"/>
        <v>32.72</v>
      </c>
      <c r="Q1885" s="10" t="s">
        <v>8323</v>
      </c>
      <c r="R1885" s="10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30</v>
      </c>
      <c r="V1885">
        <f t="shared" si="17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 s="8">
        <f t="shared" si="175"/>
        <v>51.96</v>
      </c>
      <c r="Q1886" s="10" t="s">
        <v>8323</v>
      </c>
      <c r="R1886" s="10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35</v>
      </c>
      <c r="V1886">
        <f t="shared" si="17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 s="8">
        <f t="shared" si="175"/>
        <v>50.69</v>
      </c>
      <c r="Q1887" s="10" t="s">
        <v>8323</v>
      </c>
      <c r="R1887" s="10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33</v>
      </c>
      <c r="V1887">
        <f t="shared" si="17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 s="8">
        <f t="shared" si="175"/>
        <v>42.24</v>
      </c>
      <c r="Q1888" s="10" t="s">
        <v>8323</v>
      </c>
      <c r="R1888" s="10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30</v>
      </c>
      <c r="V1888">
        <f t="shared" si="17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 s="8">
        <f t="shared" si="175"/>
        <v>416.88</v>
      </c>
      <c r="Q1889" s="10" t="s">
        <v>8323</v>
      </c>
      <c r="R1889" s="10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18</v>
      </c>
      <c r="V1889">
        <f t="shared" si="17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 s="8">
        <f t="shared" si="175"/>
        <v>46.65</v>
      </c>
      <c r="Q1890" s="10" t="s">
        <v>8323</v>
      </c>
      <c r="R1890" s="1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31</v>
      </c>
      <c r="V1890">
        <f t="shared" si="17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 s="8">
        <f t="shared" si="175"/>
        <v>48.45</v>
      </c>
      <c r="Q1891" s="10" t="s">
        <v>8323</v>
      </c>
      <c r="R1891" s="10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45</v>
      </c>
      <c r="V1891">
        <f t="shared" si="17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 s="8">
        <f t="shared" si="175"/>
        <v>70.53</v>
      </c>
      <c r="Q1892" s="10" t="s">
        <v>8323</v>
      </c>
      <c r="R1892" s="10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30</v>
      </c>
      <c r="V1892">
        <f t="shared" si="17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 s="8">
        <f t="shared" si="175"/>
        <v>87.96</v>
      </c>
      <c r="Q1893" s="10" t="s">
        <v>8323</v>
      </c>
      <c r="R1893" s="10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45</v>
      </c>
      <c r="V1893">
        <f t="shared" si="17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 s="8">
        <f t="shared" si="175"/>
        <v>26.27</v>
      </c>
      <c r="Q1894" s="10" t="s">
        <v>8323</v>
      </c>
      <c r="R1894" s="10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30</v>
      </c>
      <c r="V1894">
        <f t="shared" si="17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 s="8">
        <f t="shared" si="175"/>
        <v>57.78</v>
      </c>
      <c r="Q1895" s="10" t="s">
        <v>8323</v>
      </c>
      <c r="R1895" s="10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16</v>
      </c>
      <c r="V1895">
        <f t="shared" si="17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 s="8">
        <f t="shared" si="175"/>
        <v>57.25</v>
      </c>
      <c r="Q1896" s="10" t="s">
        <v>8323</v>
      </c>
      <c r="R1896" s="10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31</v>
      </c>
      <c r="V1896">
        <f t="shared" si="17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 s="8">
        <f t="shared" si="175"/>
        <v>196.34</v>
      </c>
      <c r="Q1897" s="10" t="s">
        <v>8323</v>
      </c>
      <c r="R1897" s="10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30</v>
      </c>
      <c r="V1897">
        <f t="shared" si="17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 s="8">
        <f t="shared" si="175"/>
        <v>43</v>
      </c>
      <c r="Q1898" s="10" t="s">
        <v>8323</v>
      </c>
      <c r="R1898" s="10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30</v>
      </c>
      <c r="V1898">
        <f t="shared" si="17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 s="8">
        <f t="shared" si="175"/>
        <v>35.549999999999997</v>
      </c>
      <c r="Q1899" s="10" t="s">
        <v>8323</v>
      </c>
      <c r="R1899" s="10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22</v>
      </c>
      <c r="V1899">
        <f t="shared" si="17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 s="8">
        <f t="shared" si="175"/>
        <v>68.81</v>
      </c>
      <c r="Q1900" s="10" t="s">
        <v>8323</v>
      </c>
      <c r="R1900" s="1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36</v>
      </c>
      <c r="V1900">
        <f t="shared" si="17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 s="8">
        <f t="shared" si="175"/>
        <v>28.57</v>
      </c>
      <c r="Q1901" s="10" t="s">
        <v>8323</v>
      </c>
      <c r="R1901" s="10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30</v>
      </c>
      <c r="V1901">
        <f t="shared" si="17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 s="8">
        <f t="shared" si="175"/>
        <v>50.63</v>
      </c>
      <c r="Q1902" s="10" t="s">
        <v>8323</v>
      </c>
      <c r="R1902" s="10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28</v>
      </c>
      <c r="V1902">
        <f t="shared" si="17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 s="8">
        <f t="shared" si="175"/>
        <v>106.8</v>
      </c>
      <c r="Q1903" s="10" t="s">
        <v>8317</v>
      </c>
      <c r="R1903" s="10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30</v>
      </c>
      <c r="V1903">
        <f t="shared" si="17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 s="8">
        <f t="shared" si="175"/>
        <v>4</v>
      </c>
      <c r="Q1904" s="10" t="s">
        <v>8317</v>
      </c>
      <c r="R1904" s="10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30</v>
      </c>
      <c r="V1904">
        <f t="shared" si="17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 s="8">
        <f t="shared" si="175"/>
        <v>34.1</v>
      </c>
      <c r="Q1905" s="10" t="s">
        <v>8317</v>
      </c>
      <c r="R1905" s="10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60</v>
      </c>
      <c r="V1905">
        <f t="shared" si="17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 s="8">
        <f t="shared" si="175"/>
        <v>25</v>
      </c>
      <c r="Q1906" s="10" t="s">
        <v>8317</v>
      </c>
      <c r="R1906" s="10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45</v>
      </c>
      <c r="V1906">
        <f t="shared" si="17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 s="8">
        <f t="shared" si="175"/>
        <v>10.5</v>
      </c>
      <c r="Q1907" s="10" t="s">
        <v>8317</v>
      </c>
      <c r="R1907" s="10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30</v>
      </c>
      <c r="V1907">
        <f t="shared" si="17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 s="8">
        <f t="shared" si="175"/>
        <v>215.96</v>
      </c>
      <c r="Q1908" s="10" t="s">
        <v>8317</v>
      </c>
      <c r="R1908" s="10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30</v>
      </c>
      <c r="V1908">
        <f t="shared" si="17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 s="8">
        <f t="shared" si="175"/>
        <v>21.25</v>
      </c>
      <c r="Q1909" s="10" t="s">
        <v>8317</v>
      </c>
      <c r="R1909" s="10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15</v>
      </c>
      <c r="V1909">
        <f t="shared" si="17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 s="8">
        <f t="shared" si="175"/>
        <v>108.25</v>
      </c>
      <c r="Q1910" s="10" t="s">
        <v>8317</v>
      </c>
      <c r="R1910" s="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30</v>
      </c>
      <c r="V1910">
        <f t="shared" si="17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 s="8">
        <f t="shared" si="175"/>
        <v>129.97</v>
      </c>
      <c r="Q1911" s="10" t="s">
        <v>8317</v>
      </c>
      <c r="R1911" s="10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30</v>
      </c>
      <c r="V1911">
        <f t="shared" si="17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 s="8">
        <f t="shared" si="175"/>
        <v>117.49</v>
      </c>
      <c r="Q1912" s="10" t="s">
        <v>8317</v>
      </c>
      <c r="R1912" s="10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44</v>
      </c>
      <c r="V1912">
        <f t="shared" si="17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 s="8">
        <f t="shared" si="175"/>
        <v>10</v>
      </c>
      <c r="Q1913" s="10" t="s">
        <v>8317</v>
      </c>
      <c r="R1913" s="10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30</v>
      </c>
      <c r="V1913">
        <f t="shared" si="17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 s="8">
        <f t="shared" si="175"/>
        <v>70.599999999999994</v>
      </c>
      <c r="Q1914" s="10" t="s">
        <v>8317</v>
      </c>
      <c r="R1914" s="10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30</v>
      </c>
      <c r="V1914">
        <f t="shared" si="17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 s="8">
        <f t="shared" si="175"/>
        <v>24.5</v>
      </c>
      <c r="Q1915" s="10" t="s">
        <v>8317</v>
      </c>
      <c r="R1915" s="10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30</v>
      </c>
      <c r="V1915">
        <f t="shared" si="17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 s="8">
        <f t="shared" si="175"/>
        <v>30</v>
      </c>
      <c r="Q1916" s="10" t="s">
        <v>8317</v>
      </c>
      <c r="R1916" s="10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15</v>
      </c>
      <c r="V1916">
        <f t="shared" si="17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 s="8">
        <f t="shared" si="175"/>
        <v>2</v>
      </c>
      <c r="Q1917" s="10" t="s">
        <v>8317</v>
      </c>
      <c r="R1917" s="10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</v>
      </c>
      <c r="V1917">
        <f t="shared" si="17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 s="8">
        <f t="shared" si="175"/>
        <v>17</v>
      </c>
      <c r="Q1918" s="10" t="s">
        <v>8317</v>
      </c>
      <c r="R1918" s="10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25</v>
      </c>
      <c r="V1918">
        <f t="shared" si="17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 s="8">
        <f t="shared" si="175"/>
        <v>2928.93</v>
      </c>
      <c r="Q1919" s="10" t="s">
        <v>8317</v>
      </c>
      <c r="R1919" s="10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30</v>
      </c>
      <c r="V1919">
        <f t="shared" si="17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 s="8">
        <f t="shared" si="175"/>
        <v>28.89</v>
      </c>
      <c r="Q1920" s="10" t="s">
        <v>8317</v>
      </c>
      <c r="R1920" s="1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35</v>
      </c>
      <c r="V1920">
        <f t="shared" si="17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 s="8">
        <f t="shared" si="175"/>
        <v>29.63</v>
      </c>
      <c r="Q1921" s="10" t="s">
        <v>8317</v>
      </c>
      <c r="R1921" s="10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30</v>
      </c>
      <c r="V1921">
        <f t="shared" si="17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ROUND((E1922/D1922)*100, 0)</f>
        <v>43</v>
      </c>
      <c r="P1922" s="8">
        <f t="shared" ref="P1922:P1985" si="181">IFERROR(ROUND(E1922/L1922, 2), 0)</f>
        <v>40.98</v>
      </c>
      <c r="Q1922" s="10" t="s">
        <v>8317</v>
      </c>
      <c r="R1922" s="10" t="s">
        <v>8346</v>
      </c>
      <c r="S1922" s="16">
        <f t="shared" ref="S1922:S1985" si="182">(J1922/60/60/24)+DATE(1970, 1, 1)</f>
        <v>42270.875706018516</v>
      </c>
      <c r="T1922" s="16">
        <f t="shared" ref="T1922:T1985" si="183">(I1922/60/60/24)+DATE(1970, 1, 1)</f>
        <v>42298.958333333328</v>
      </c>
      <c r="U1922">
        <f t="shared" si="178"/>
        <v>28</v>
      </c>
      <c r="V1922">
        <f t="shared" si="17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 s="8">
        <f t="shared" si="181"/>
        <v>54</v>
      </c>
      <c r="Q1923" s="10" t="s">
        <v>8323</v>
      </c>
      <c r="R1923" s="10" t="s">
        <v>8327</v>
      </c>
      <c r="S1923" s="16">
        <f t="shared" si="182"/>
        <v>41074.221562500003</v>
      </c>
      <c r="T1923" s="16">
        <f t="shared" si="183"/>
        <v>41104.221562500003</v>
      </c>
      <c r="U1923">
        <f t="shared" ref="U1923:U1986" si="184">ROUND(T1923-S1923, 0)</f>
        <v>30</v>
      </c>
      <c r="V1923">
        <f t="shared" ref="V1923:V1986" si="185">YEAR($S1923)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 s="8">
        <f t="shared" si="181"/>
        <v>36.11</v>
      </c>
      <c r="Q1924" s="10" t="s">
        <v>8323</v>
      </c>
      <c r="R1924" s="10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30</v>
      </c>
      <c r="V1924">
        <f t="shared" si="185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 s="8">
        <f t="shared" si="181"/>
        <v>23.15</v>
      </c>
      <c r="Q1925" s="10" t="s">
        <v>8323</v>
      </c>
      <c r="R1925" s="10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40</v>
      </c>
      <c r="V1925">
        <f t="shared" si="185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 s="8">
        <f t="shared" si="181"/>
        <v>104</v>
      </c>
      <c r="Q1926" s="10" t="s">
        <v>8323</v>
      </c>
      <c r="R1926" s="10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28</v>
      </c>
      <c r="V1926">
        <f t="shared" si="185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 s="8">
        <f t="shared" si="181"/>
        <v>31.83</v>
      </c>
      <c r="Q1927" s="10" t="s">
        <v>8323</v>
      </c>
      <c r="R1927" s="10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22</v>
      </c>
      <c r="V1927">
        <f t="shared" si="185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 s="8">
        <f t="shared" si="181"/>
        <v>27.39</v>
      </c>
      <c r="Q1928" s="10" t="s">
        <v>8323</v>
      </c>
      <c r="R1928" s="10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27</v>
      </c>
      <c r="V1928">
        <f t="shared" si="185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 s="8">
        <f t="shared" si="181"/>
        <v>56.36</v>
      </c>
      <c r="Q1929" s="10" t="s">
        <v>8323</v>
      </c>
      <c r="R1929" s="10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15</v>
      </c>
      <c r="V1929">
        <f t="shared" si="185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 s="8">
        <f t="shared" si="181"/>
        <v>77.349999999999994</v>
      </c>
      <c r="Q1930" s="10" t="s">
        <v>8323</v>
      </c>
      <c r="R1930" s="1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30</v>
      </c>
      <c r="V1930">
        <f t="shared" si="185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 s="8">
        <f t="shared" si="181"/>
        <v>42.8</v>
      </c>
      <c r="Q1931" s="10" t="s">
        <v>8323</v>
      </c>
      <c r="R1931" s="10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42</v>
      </c>
      <c r="V1931">
        <f t="shared" si="185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 s="8">
        <f t="shared" si="181"/>
        <v>48.85</v>
      </c>
      <c r="Q1932" s="10" t="s">
        <v>8323</v>
      </c>
      <c r="R1932" s="10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60</v>
      </c>
      <c r="V1932">
        <f t="shared" si="185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 s="8">
        <f t="shared" si="181"/>
        <v>48.24</v>
      </c>
      <c r="Q1933" s="10" t="s">
        <v>8323</v>
      </c>
      <c r="R1933" s="10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13</v>
      </c>
      <c r="V1933">
        <f t="shared" si="185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 s="8">
        <f t="shared" si="181"/>
        <v>70.209999999999994</v>
      </c>
      <c r="Q1934" s="10" t="s">
        <v>8323</v>
      </c>
      <c r="R1934" s="10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21</v>
      </c>
      <c r="V1934">
        <f t="shared" si="185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 s="8">
        <f t="shared" si="181"/>
        <v>94.05</v>
      </c>
      <c r="Q1935" s="10" t="s">
        <v>8323</v>
      </c>
      <c r="R1935" s="10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30</v>
      </c>
      <c r="V1935">
        <f t="shared" si="185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 s="8">
        <f t="shared" si="181"/>
        <v>80.27</v>
      </c>
      <c r="Q1936" s="10" t="s">
        <v>8323</v>
      </c>
      <c r="R1936" s="10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36</v>
      </c>
      <c r="V1936">
        <f t="shared" si="185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 s="8">
        <f t="shared" si="181"/>
        <v>54.2</v>
      </c>
      <c r="Q1937" s="10" t="s">
        <v>8323</v>
      </c>
      <c r="R1937" s="10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37</v>
      </c>
      <c r="V1937">
        <f t="shared" si="185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 s="8">
        <f t="shared" si="181"/>
        <v>60.27</v>
      </c>
      <c r="Q1938" s="10" t="s">
        <v>8323</v>
      </c>
      <c r="R1938" s="10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30</v>
      </c>
      <c r="V1938">
        <f t="shared" si="185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 s="8">
        <f t="shared" si="181"/>
        <v>38.74</v>
      </c>
      <c r="Q1939" s="10" t="s">
        <v>8323</v>
      </c>
      <c r="R1939" s="10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16</v>
      </c>
      <c r="V1939">
        <f t="shared" si="185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 s="8">
        <f t="shared" si="181"/>
        <v>152.54</v>
      </c>
      <c r="Q1940" s="10" t="s">
        <v>8323</v>
      </c>
      <c r="R1940" s="1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31</v>
      </c>
      <c r="V1940">
        <f t="shared" si="185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 s="8">
        <f t="shared" si="181"/>
        <v>115.31</v>
      </c>
      <c r="Q1941" s="10" t="s">
        <v>8323</v>
      </c>
      <c r="R1941" s="10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30</v>
      </c>
      <c r="V1941">
        <f t="shared" si="185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 s="8">
        <f t="shared" si="181"/>
        <v>35.840000000000003</v>
      </c>
      <c r="Q1942" s="10" t="s">
        <v>8323</v>
      </c>
      <c r="R1942" s="10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39</v>
      </c>
      <c r="V1942">
        <f t="shared" si="185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 s="8">
        <f t="shared" si="181"/>
        <v>64.569999999999993</v>
      </c>
      <c r="Q1943" s="10" t="s">
        <v>8317</v>
      </c>
      <c r="R1943" s="10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30</v>
      </c>
      <c r="V1943">
        <f t="shared" si="185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 s="8">
        <f t="shared" si="181"/>
        <v>87.44</v>
      </c>
      <c r="Q1944" s="10" t="s">
        <v>8317</v>
      </c>
      <c r="R1944" s="10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90</v>
      </c>
      <c r="V1944">
        <f t="shared" si="185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 s="8">
        <f t="shared" si="181"/>
        <v>68.819999999999993</v>
      </c>
      <c r="Q1945" s="10" t="s">
        <v>8317</v>
      </c>
      <c r="R1945" s="10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45</v>
      </c>
      <c r="V1945">
        <f t="shared" si="185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 s="8">
        <f t="shared" si="181"/>
        <v>176.2</v>
      </c>
      <c r="Q1946" s="10" t="s">
        <v>8317</v>
      </c>
      <c r="R1946" s="10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30</v>
      </c>
      <c r="V1946">
        <f t="shared" si="185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 s="8">
        <f t="shared" si="181"/>
        <v>511.79</v>
      </c>
      <c r="Q1947" s="10" t="s">
        <v>8317</v>
      </c>
      <c r="R1947" s="10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40</v>
      </c>
      <c r="V1947">
        <f t="shared" si="185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 s="8">
        <f t="shared" si="181"/>
        <v>160.44</v>
      </c>
      <c r="Q1948" s="10" t="s">
        <v>8317</v>
      </c>
      <c r="R1948" s="10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60</v>
      </c>
      <c r="V1948">
        <f t="shared" si="185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 s="8">
        <f t="shared" si="181"/>
        <v>35</v>
      </c>
      <c r="Q1949" s="10" t="s">
        <v>8317</v>
      </c>
      <c r="R1949" s="10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37</v>
      </c>
      <c r="V1949">
        <f t="shared" si="185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 s="8">
        <f t="shared" si="181"/>
        <v>188.51</v>
      </c>
      <c r="Q1950" s="10" t="s">
        <v>8317</v>
      </c>
      <c r="R1950" s="1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54</v>
      </c>
      <c r="V1950">
        <f t="shared" si="185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 s="8">
        <f t="shared" si="181"/>
        <v>56.2</v>
      </c>
      <c r="Q1951" s="10" t="s">
        <v>8317</v>
      </c>
      <c r="R1951" s="10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30</v>
      </c>
      <c r="V1951">
        <f t="shared" si="185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 s="8">
        <f t="shared" si="181"/>
        <v>51.31</v>
      </c>
      <c r="Q1952" s="10" t="s">
        <v>8317</v>
      </c>
      <c r="R1952" s="10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31</v>
      </c>
      <c r="V1952">
        <f t="shared" si="185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 s="8">
        <f t="shared" si="181"/>
        <v>127.36</v>
      </c>
      <c r="Q1953" s="10" t="s">
        <v>8317</v>
      </c>
      <c r="R1953" s="10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30</v>
      </c>
      <c r="V1953">
        <f t="shared" si="185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 s="8">
        <f t="shared" si="181"/>
        <v>101.86</v>
      </c>
      <c r="Q1954" s="10" t="s">
        <v>8317</v>
      </c>
      <c r="R1954" s="10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37</v>
      </c>
      <c r="V1954">
        <f t="shared" si="185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 s="8">
        <f t="shared" si="181"/>
        <v>230.56</v>
      </c>
      <c r="Q1955" s="10" t="s">
        <v>8317</v>
      </c>
      <c r="R1955" s="10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29</v>
      </c>
      <c r="V1955">
        <f t="shared" si="185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 s="8">
        <f t="shared" si="181"/>
        <v>842.11</v>
      </c>
      <c r="Q1956" s="10" t="s">
        <v>8317</v>
      </c>
      <c r="R1956" s="10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47</v>
      </c>
      <c r="V1956">
        <f t="shared" si="185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 s="8">
        <f t="shared" si="181"/>
        <v>577.28</v>
      </c>
      <c r="Q1957" s="10" t="s">
        <v>8317</v>
      </c>
      <c r="R1957" s="10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33</v>
      </c>
      <c r="V1957">
        <f t="shared" si="185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 s="8">
        <f t="shared" si="181"/>
        <v>483.34</v>
      </c>
      <c r="Q1958" s="10" t="s">
        <v>8317</v>
      </c>
      <c r="R1958" s="10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45</v>
      </c>
      <c r="V1958">
        <f t="shared" si="185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 s="8">
        <f t="shared" si="181"/>
        <v>76.14</v>
      </c>
      <c r="Q1959" s="10" t="s">
        <v>8317</v>
      </c>
      <c r="R1959" s="10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30</v>
      </c>
      <c r="V1959">
        <f t="shared" si="185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 s="8">
        <f t="shared" si="181"/>
        <v>74.11</v>
      </c>
      <c r="Q1960" s="10" t="s">
        <v>8317</v>
      </c>
      <c r="R1960" s="1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30</v>
      </c>
      <c r="V1960">
        <f t="shared" si="185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 s="8">
        <f t="shared" si="181"/>
        <v>36.97</v>
      </c>
      <c r="Q1961" s="10" t="s">
        <v>8317</v>
      </c>
      <c r="R1961" s="10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41</v>
      </c>
      <c r="V1961">
        <f t="shared" si="185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 s="8">
        <f t="shared" si="181"/>
        <v>2500.9699999999998</v>
      </c>
      <c r="Q1962" s="10" t="s">
        <v>8317</v>
      </c>
      <c r="R1962" s="10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30</v>
      </c>
      <c r="V1962">
        <f t="shared" si="185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 s="8">
        <f t="shared" si="181"/>
        <v>67.69</v>
      </c>
      <c r="Q1963" s="10" t="s">
        <v>8317</v>
      </c>
      <c r="R1963" s="10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40</v>
      </c>
      <c r="V1963">
        <f t="shared" si="185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 s="8">
        <f t="shared" si="181"/>
        <v>63.05</v>
      </c>
      <c r="Q1964" s="10" t="s">
        <v>8317</v>
      </c>
      <c r="R1964" s="10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30</v>
      </c>
      <c r="V1964">
        <f t="shared" si="185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 s="8">
        <f t="shared" si="181"/>
        <v>117.6</v>
      </c>
      <c r="Q1965" s="10" t="s">
        <v>8317</v>
      </c>
      <c r="R1965" s="10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35</v>
      </c>
      <c r="V1965">
        <f t="shared" si="185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 s="8">
        <f t="shared" si="181"/>
        <v>180.75</v>
      </c>
      <c r="Q1966" s="10" t="s">
        <v>8317</v>
      </c>
      <c r="R1966" s="10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30</v>
      </c>
      <c r="V1966">
        <f t="shared" si="185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 s="8">
        <f t="shared" si="181"/>
        <v>127.32</v>
      </c>
      <c r="Q1967" s="10" t="s">
        <v>8317</v>
      </c>
      <c r="R1967" s="10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22</v>
      </c>
      <c r="V1967">
        <f t="shared" si="185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 s="8">
        <f t="shared" si="181"/>
        <v>136.63999999999999</v>
      </c>
      <c r="Q1968" s="10" t="s">
        <v>8317</v>
      </c>
      <c r="R1968" s="10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30</v>
      </c>
      <c r="V1968">
        <f t="shared" si="185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 s="8">
        <f t="shared" si="181"/>
        <v>182.78</v>
      </c>
      <c r="Q1969" s="10" t="s">
        <v>8317</v>
      </c>
      <c r="R1969" s="10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30</v>
      </c>
      <c r="V1969">
        <f t="shared" si="185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 s="8">
        <f t="shared" si="181"/>
        <v>279.38</v>
      </c>
      <c r="Q1970" s="10" t="s">
        <v>8317</v>
      </c>
      <c r="R1970" s="1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31</v>
      </c>
      <c r="V1970">
        <f t="shared" si="185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 s="8">
        <f t="shared" si="181"/>
        <v>61.38</v>
      </c>
      <c r="Q1971" s="10" t="s">
        <v>8317</v>
      </c>
      <c r="R1971" s="10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30</v>
      </c>
      <c r="V1971">
        <f t="shared" si="185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 s="8">
        <f t="shared" si="181"/>
        <v>80.73</v>
      </c>
      <c r="Q1972" s="10" t="s">
        <v>8317</v>
      </c>
      <c r="R1972" s="10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60</v>
      </c>
      <c r="V1972">
        <f t="shared" si="185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 s="8">
        <f t="shared" si="181"/>
        <v>272.36</v>
      </c>
      <c r="Q1973" s="10" t="s">
        <v>8317</v>
      </c>
      <c r="R1973" s="10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32</v>
      </c>
      <c r="V1973">
        <f t="shared" si="185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 s="8">
        <f t="shared" si="181"/>
        <v>70.849999999999994</v>
      </c>
      <c r="Q1974" s="10" t="s">
        <v>8317</v>
      </c>
      <c r="R1974" s="10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30</v>
      </c>
      <c r="V1974">
        <f t="shared" si="185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 s="8">
        <f t="shared" si="181"/>
        <v>247.94</v>
      </c>
      <c r="Q1975" s="10" t="s">
        <v>8317</v>
      </c>
      <c r="R1975" s="10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39</v>
      </c>
      <c r="V1975">
        <f t="shared" si="185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 s="8">
        <f t="shared" si="181"/>
        <v>186.81</v>
      </c>
      <c r="Q1976" s="10" t="s">
        <v>8317</v>
      </c>
      <c r="R1976" s="10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60</v>
      </c>
      <c r="V1976">
        <f t="shared" si="185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 s="8">
        <f t="shared" si="181"/>
        <v>131.99</v>
      </c>
      <c r="Q1977" s="10" t="s">
        <v>8317</v>
      </c>
      <c r="R1977" s="10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30</v>
      </c>
      <c r="V1977">
        <f t="shared" si="185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 s="8">
        <f t="shared" si="181"/>
        <v>29.31</v>
      </c>
      <c r="Q1978" s="10" t="s">
        <v>8317</v>
      </c>
      <c r="R1978" s="10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30</v>
      </c>
      <c r="V1978">
        <f t="shared" si="185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 s="8">
        <f t="shared" si="181"/>
        <v>245.02</v>
      </c>
      <c r="Q1979" s="10" t="s">
        <v>8317</v>
      </c>
      <c r="R1979" s="10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46</v>
      </c>
      <c r="V1979">
        <f t="shared" si="185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 s="8">
        <f t="shared" si="181"/>
        <v>1323.25</v>
      </c>
      <c r="Q1980" s="10" t="s">
        <v>8317</v>
      </c>
      <c r="R1980" s="1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33</v>
      </c>
      <c r="V1980">
        <f t="shared" si="185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 s="8">
        <f t="shared" si="181"/>
        <v>282.66000000000003</v>
      </c>
      <c r="Q1981" s="10" t="s">
        <v>8317</v>
      </c>
      <c r="R1981" s="10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37</v>
      </c>
      <c r="V1981">
        <f t="shared" si="185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 s="8">
        <f t="shared" si="181"/>
        <v>91.21</v>
      </c>
      <c r="Q1982" s="10" t="s">
        <v>8317</v>
      </c>
      <c r="R1982" s="10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40</v>
      </c>
      <c r="V1982">
        <f t="shared" si="185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 s="8">
        <f t="shared" si="181"/>
        <v>31.75</v>
      </c>
      <c r="Q1983" s="10" t="s">
        <v>8336</v>
      </c>
      <c r="R1983" s="10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30</v>
      </c>
      <c r="V1983">
        <f t="shared" si="185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 s="8">
        <f t="shared" si="181"/>
        <v>0</v>
      </c>
      <c r="Q1984" s="10" t="s">
        <v>8336</v>
      </c>
      <c r="R1984" s="10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30</v>
      </c>
      <c r="V1984">
        <f t="shared" si="185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 s="8">
        <f t="shared" si="181"/>
        <v>88.69</v>
      </c>
      <c r="Q1985" s="10" t="s">
        <v>8336</v>
      </c>
      <c r="R1985" s="10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22</v>
      </c>
      <c r="V1985">
        <f t="shared" si="185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ROUND((E1986/D1986)*100, 0)</f>
        <v>21</v>
      </c>
      <c r="P1986" s="8">
        <f t="shared" ref="P1986:P2049" si="187">IFERROR(ROUND(E1986/L1986, 2), 0)</f>
        <v>453.14</v>
      </c>
      <c r="Q1986" s="10" t="s">
        <v>8336</v>
      </c>
      <c r="R1986" s="10" t="s">
        <v>8348</v>
      </c>
      <c r="S1986" s="16">
        <f t="shared" ref="S1986:S2049" si="188">(J1986/60/60/24)+DATE(1970, 1, 1)</f>
        <v>41913.790289351848</v>
      </c>
      <c r="T1986" s="16">
        <f t="shared" ref="T1986:T2049" si="189">(I1986/60/60/24)+DATE(1970, 1, 1)</f>
        <v>41973.831956018519</v>
      </c>
      <c r="U1986">
        <f t="shared" si="184"/>
        <v>60</v>
      </c>
      <c r="V1986">
        <f t="shared" si="185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 s="8">
        <f t="shared" si="187"/>
        <v>12.75</v>
      </c>
      <c r="Q1987" s="10" t="s">
        <v>8336</v>
      </c>
      <c r="R1987" s="10" t="s">
        <v>8348</v>
      </c>
      <c r="S1987" s="16">
        <f t="shared" si="188"/>
        <v>42555.698738425926</v>
      </c>
      <c r="T1987" s="16">
        <f t="shared" si="189"/>
        <v>42584.958333333328</v>
      </c>
      <c r="U1987">
        <f t="shared" ref="U1987:U2050" si="190">ROUND(T1987-S1987, 0)</f>
        <v>29</v>
      </c>
      <c r="V1987">
        <f t="shared" ref="V1987:V2050" si="191">YEAR($S1987)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 s="8">
        <f t="shared" si="187"/>
        <v>1</v>
      </c>
      <c r="Q1988" s="10" t="s">
        <v>8336</v>
      </c>
      <c r="R1988" s="10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30</v>
      </c>
      <c r="V1988">
        <f t="shared" si="191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 s="8">
        <f t="shared" si="187"/>
        <v>83.43</v>
      </c>
      <c r="Q1989" s="10" t="s">
        <v>8336</v>
      </c>
      <c r="R1989" s="10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30</v>
      </c>
      <c r="V1989">
        <f t="shared" si="191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 s="8">
        <f t="shared" si="187"/>
        <v>25</v>
      </c>
      <c r="Q1990" s="10" t="s">
        <v>8336</v>
      </c>
      <c r="R1990" s="1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30</v>
      </c>
      <c r="V1990">
        <f t="shared" si="191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 s="8">
        <f t="shared" si="187"/>
        <v>50</v>
      </c>
      <c r="Q1991" s="10" t="s">
        <v>8336</v>
      </c>
      <c r="R1991" s="10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30</v>
      </c>
      <c r="V1991">
        <f t="shared" si="191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 s="8">
        <f t="shared" si="187"/>
        <v>101.8</v>
      </c>
      <c r="Q1992" s="10" t="s">
        <v>8336</v>
      </c>
      <c r="R1992" s="10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15</v>
      </c>
      <c r="V1992">
        <f t="shared" si="191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 s="8">
        <f t="shared" si="187"/>
        <v>46.67</v>
      </c>
      <c r="Q1993" s="10" t="s">
        <v>8336</v>
      </c>
      <c r="R1993" s="10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21</v>
      </c>
      <c r="V1993">
        <f t="shared" si="191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 s="8">
        <f t="shared" si="187"/>
        <v>1</v>
      </c>
      <c r="Q1994" s="10" t="s">
        <v>8336</v>
      </c>
      <c r="R1994" s="10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30</v>
      </c>
      <c r="V1994">
        <f t="shared" si="191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 s="8">
        <f t="shared" si="187"/>
        <v>0</v>
      </c>
      <c r="Q1995" s="10" t="s">
        <v>8336</v>
      </c>
      <c r="R1995" s="10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30</v>
      </c>
      <c r="V1995">
        <f t="shared" si="191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 s="8">
        <f t="shared" si="187"/>
        <v>0</v>
      </c>
      <c r="Q1996" s="10" t="s">
        <v>8336</v>
      </c>
      <c r="R1996" s="10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60</v>
      </c>
      <c r="V1996">
        <f t="shared" si="191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 s="8">
        <f t="shared" si="187"/>
        <v>26</v>
      </c>
      <c r="Q1997" s="10" t="s">
        <v>8336</v>
      </c>
      <c r="R1997" s="10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</v>
      </c>
      <c r="V1997">
        <f t="shared" si="191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 s="8">
        <f t="shared" si="187"/>
        <v>0</v>
      </c>
      <c r="Q1998" s="10" t="s">
        <v>8336</v>
      </c>
      <c r="R1998" s="10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30</v>
      </c>
      <c r="V1998">
        <f t="shared" si="191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 s="8">
        <f t="shared" si="187"/>
        <v>0</v>
      </c>
      <c r="Q1999" s="10" t="s">
        <v>8336</v>
      </c>
      <c r="R1999" s="10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30</v>
      </c>
      <c r="V1999">
        <f t="shared" si="191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 s="8">
        <f t="shared" si="187"/>
        <v>218.33</v>
      </c>
      <c r="Q2000" s="10" t="s">
        <v>8336</v>
      </c>
      <c r="R2000" s="1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45</v>
      </c>
      <c r="V2000">
        <f t="shared" si="191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 s="8">
        <f t="shared" si="187"/>
        <v>33.71</v>
      </c>
      <c r="Q2001" s="10" t="s">
        <v>8336</v>
      </c>
      <c r="R2001" s="10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30</v>
      </c>
      <c r="V2001">
        <f t="shared" si="191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 s="8">
        <f t="shared" si="187"/>
        <v>25</v>
      </c>
      <c r="Q2002" s="10" t="s">
        <v>8336</v>
      </c>
      <c r="R2002" s="10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30</v>
      </c>
      <c r="V2002">
        <f t="shared" si="191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 s="8">
        <f t="shared" si="187"/>
        <v>128.38999999999999</v>
      </c>
      <c r="Q2003" s="10" t="s">
        <v>8317</v>
      </c>
      <c r="R2003" s="10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32</v>
      </c>
      <c r="V2003">
        <f t="shared" si="191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 s="8">
        <f t="shared" si="187"/>
        <v>78.83</v>
      </c>
      <c r="Q2004" s="10" t="s">
        <v>8317</v>
      </c>
      <c r="R2004" s="10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30</v>
      </c>
      <c r="V2004">
        <f t="shared" si="191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 s="8">
        <f t="shared" si="187"/>
        <v>91.76</v>
      </c>
      <c r="Q2005" s="10" t="s">
        <v>8317</v>
      </c>
      <c r="R2005" s="10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15</v>
      </c>
      <c r="V2005">
        <f t="shared" si="191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 s="8">
        <f t="shared" si="187"/>
        <v>331.1</v>
      </c>
      <c r="Q2006" s="10" t="s">
        <v>8317</v>
      </c>
      <c r="R2006" s="10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30</v>
      </c>
      <c r="V2006">
        <f t="shared" si="191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 s="8">
        <f t="shared" si="187"/>
        <v>194.26</v>
      </c>
      <c r="Q2007" s="10" t="s">
        <v>8317</v>
      </c>
      <c r="R2007" s="10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27</v>
      </c>
      <c r="V2007">
        <f t="shared" si="191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 s="8">
        <f t="shared" si="187"/>
        <v>408.98</v>
      </c>
      <c r="Q2008" s="10" t="s">
        <v>8317</v>
      </c>
      <c r="R2008" s="10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35</v>
      </c>
      <c r="V2008">
        <f t="shared" si="191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 s="8">
        <f t="shared" si="187"/>
        <v>84.46</v>
      </c>
      <c r="Q2009" s="10" t="s">
        <v>8317</v>
      </c>
      <c r="R2009" s="10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66</v>
      </c>
      <c r="V2009">
        <f t="shared" si="191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 s="8">
        <f t="shared" si="187"/>
        <v>44.85</v>
      </c>
      <c r="Q2010" s="10" t="s">
        <v>8317</v>
      </c>
      <c r="R2010" s="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44</v>
      </c>
      <c r="V2010">
        <f t="shared" si="191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 s="8">
        <f t="shared" si="187"/>
        <v>383.36</v>
      </c>
      <c r="Q2011" s="10" t="s">
        <v>8317</v>
      </c>
      <c r="R2011" s="10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36</v>
      </c>
      <c r="V2011">
        <f t="shared" si="191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 s="8">
        <f t="shared" si="187"/>
        <v>55.28</v>
      </c>
      <c r="Q2012" s="10" t="s">
        <v>8317</v>
      </c>
      <c r="R2012" s="10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30</v>
      </c>
      <c r="V2012">
        <f t="shared" si="191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 s="8">
        <f t="shared" si="187"/>
        <v>422.02</v>
      </c>
      <c r="Q2013" s="10" t="s">
        <v>8317</v>
      </c>
      <c r="R2013" s="10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34</v>
      </c>
      <c r="V2013">
        <f t="shared" si="191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 s="8">
        <f t="shared" si="187"/>
        <v>64.180000000000007</v>
      </c>
      <c r="Q2014" s="10" t="s">
        <v>8317</v>
      </c>
      <c r="R2014" s="10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30</v>
      </c>
      <c r="V2014">
        <f t="shared" si="191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 s="8">
        <f t="shared" si="187"/>
        <v>173.58</v>
      </c>
      <c r="Q2015" s="10" t="s">
        <v>8317</v>
      </c>
      <c r="R2015" s="10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60</v>
      </c>
      <c r="V2015">
        <f t="shared" si="191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 s="8">
        <f t="shared" si="187"/>
        <v>88.6</v>
      </c>
      <c r="Q2016" s="10" t="s">
        <v>8317</v>
      </c>
      <c r="R2016" s="10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34</v>
      </c>
      <c r="V2016">
        <f t="shared" si="191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 s="8">
        <f t="shared" si="187"/>
        <v>50.22</v>
      </c>
      <c r="Q2017" s="10" t="s">
        <v>8317</v>
      </c>
      <c r="R2017" s="10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30</v>
      </c>
      <c r="V2017">
        <f t="shared" si="191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 s="8">
        <f t="shared" si="187"/>
        <v>192.39</v>
      </c>
      <c r="Q2018" s="10" t="s">
        <v>8317</v>
      </c>
      <c r="R2018" s="10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30</v>
      </c>
      <c r="V2018">
        <f t="shared" si="191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 s="8">
        <f t="shared" si="187"/>
        <v>73.42</v>
      </c>
      <c r="Q2019" s="10" t="s">
        <v>8317</v>
      </c>
      <c r="R2019" s="10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31</v>
      </c>
      <c r="V2019">
        <f t="shared" si="191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 s="8">
        <f t="shared" si="187"/>
        <v>147.68</v>
      </c>
      <c r="Q2020" s="10" t="s">
        <v>8317</v>
      </c>
      <c r="R2020" s="1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30</v>
      </c>
      <c r="V2020">
        <f t="shared" si="191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 s="8">
        <f t="shared" si="187"/>
        <v>108.97</v>
      </c>
      <c r="Q2021" s="10" t="s">
        <v>8317</v>
      </c>
      <c r="R2021" s="10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30</v>
      </c>
      <c r="V2021">
        <f t="shared" si="191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 s="8">
        <f t="shared" si="187"/>
        <v>23.65</v>
      </c>
      <c r="Q2022" s="10" t="s">
        <v>8317</v>
      </c>
      <c r="R2022" s="10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37</v>
      </c>
      <c r="V2022">
        <f t="shared" si="191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 s="8">
        <f t="shared" si="187"/>
        <v>147.94999999999999</v>
      </c>
      <c r="Q2023" s="10" t="s">
        <v>8317</v>
      </c>
      <c r="R2023" s="10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45</v>
      </c>
      <c r="V2023">
        <f t="shared" si="191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 s="8">
        <f t="shared" si="187"/>
        <v>385.04</v>
      </c>
      <c r="Q2024" s="10" t="s">
        <v>8317</v>
      </c>
      <c r="R2024" s="10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30</v>
      </c>
      <c r="V2024">
        <f t="shared" si="191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 s="8">
        <f t="shared" si="187"/>
        <v>457.39</v>
      </c>
      <c r="Q2025" s="10" t="s">
        <v>8317</v>
      </c>
      <c r="R2025" s="10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30</v>
      </c>
      <c r="V2025">
        <f t="shared" si="191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 s="8">
        <f t="shared" si="187"/>
        <v>222.99</v>
      </c>
      <c r="Q2026" s="10" t="s">
        <v>8317</v>
      </c>
      <c r="R2026" s="10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34</v>
      </c>
      <c r="V2026">
        <f t="shared" si="191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 s="8">
        <f t="shared" si="187"/>
        <v>220.74</v>
      </c>
      <c r="Q2027" s="10" t="s">
        <v>8317</v>
      </c>
      <c r="R2027" s="10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30</v>
      </c>
      <c r="V2027">
        <f t="shared" si="191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 s="8">
        <f t="shared" si="187"/>
        <v>73.5</v>
      </c>
      <c r="Q2028" s="10" t="s">
        <v>8317</v>
      </c>
      <c r="R2028" s="10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45</v>
      </c>
      <c r="V2028">
        <f t="shared" si="191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 s="8">
        <f t="shared" si="187"/>
        <v>223.1</v>
      </c>
      <c r="Q2029" s="10" t="s">
        <v>8317</v>
      </c>
      <c r="R2029" s="10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45</v>
      </c>
      <c r="V2029">
        <f t="shared" si="191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 s="8">
        <f t="shared" si="187"/>
        <v>47.91</v>
      </c>
      <c r="Q2030" s="10" t="s">
        <v>8317</v>
      </c>
      <c r="R2030" s="1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37</v>
      </c>
      <c r="V2030">
        <f t="shared" si="191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 s="8">
        <f t="shared" si="187"/>
        <v>96.06</v>
      </c>
      <c r="Q2031" s="10" t="s">
        <v>8317</v>
      </c>
      <c r="R2031" s="10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30</v>
      </c>
      <c r="V2031">
        <f t="shared" si="191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 s="8">
        <f t="shared" si="187"/>
        <v>118.61</v>
      </c>
      <c r="Q2032" s="10" t="s">
        <v>8317</v>
      </c>
      <c r="R2032" s="10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30</v>
      </c>
      <c r="V2032">
        <f t="shared" si="191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 s="8">
        <f t="shared" si="187"/>
        <v>118.45</v>
      </c>
      <c r="Q2033" s="10" t="s">
        <v>8317</v>
      </c>
      <c r="R2033" s="10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38</v>
      </c>
      <c r="V2033">
        <f t="shared" si="191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 s="8">
        <f t="shared" si="187"/>
        <v>143.21</v>
      </c>
      <c r="Q2034" s="10" t="s">
        <v>8317</v>
      </c>
      <c r="R2034" s="10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30</v>
      </c>
      <c r="V2034">
        <f t="shared" si="191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 s="8">
        <f t="shared" si="187"/>
        <v>282.72000000000003</v>
      </c>
      <c r="Q2035" s="10" t="s">
        <v>8317</v>
      </c>
      <c r="R2035" s="10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30</v>
      </c>
      <c r="V2035">
        <f t="shared" si="191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 s="8">
        <f t="shared" si="187"/>
        <v>593.94000000000005</v>
      </c>
      <c r="Q2036" s="10" t="s">
        <v>8317</v>
      </c>
      <c r="R2036" s="10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55</v>
      </c>
      <c r="V2036">
        <f t="shared" si="191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 s="8">
        <f t="shared" si="187"/>
        <v>262.16000000000003</v>
      </c>
      <c r="Q2037" s="10" t="s">
        <v>8317</v>
      </c>
      <c r="R2037" s="10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45</v>
      </c>
      <c r="V2037">
        <f t="shared" si="191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 s="8">
        <f t="shared" si="187"/>
        <v>46.58</v>
      </c>
      <c r="Q2038" s="10" t="s">
        <v>8317</v>
      </c>
      <c r="R2038" s="10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30</v>
      </c>
      <c r="V2038">
        <f t="shared" si="191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 s="8">
        <f t="shared" si="187"/>
        <v>70.040000000000006</v>
      </c>
      <c r="Q2039" s="10" t="s">
        <v>8317</v>
      </c>
      <c r="R2039" s="10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60</v>
      </c>
      <c r="V2039">
        <f t="shared" si="191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 s="8">
        <f t="shared" si="187"/>
        <v>164.91</v>
      </c>
      <c r="Q2040" s="10" t="s">
        <v>8317</v>
      </c>
      <c r="R2040" s="1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32</v>
      </c>
      <c r="V2040">
        <f t="shared" si="191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 s="8">
        <f t="shared" si="187"/>
        <v>449.26</v>
      </c>
      <c r="Q2041" s="10" t="s">
        <v>8317</v>
      </c>
      <c r="R2041" s="10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30</v>
      </c>
      <c r="V2041">
        <f t="shared" si="191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 s="8">
        <f t="shared" si="187"/>
        <v>27.47</v>
      </c>
      <c r="Q2042" s="10" t="s">
        <v>8317</v>
      </c>
      <c r="R2042" s="10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15</v>
      </c>
      <c r="V2042">
        <f t="shared" si="191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 s="8">
        <f t="shared" si="187"/>
        <v>143.97999999999999</v>
      </c>
      <c r="Q2043" s="10" t="s">
        <v>8317</v>
      </c>
      <c r="R2043" s="10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30</v>
      </c>
      <c r="V2043">
        <f t="shared" si="191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 s="8">
        <f t="shared" si="187"/>
        <v>88.24</v>
      </c>
      <c r="Q2044" s="10" t="s">
        <v>8317</v>
      </c>
      <c r="R2044" s="10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60</v>
      </c>
      <c r="V2044">
        <f t="shared" si="191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 s="8">
        <f t="shared" si="187"/>
        <v>36.33</v>
      </c>
      <c r="Q2045" s="10" t="s">
        <v>8317</v>
      </c>
      <c r="R2045" s="10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54</v>
      </c>
      <c r="V2045">
        <f t="shared" si="191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 s="8">
        <f t="shared" si="187"/>
        <v>90.18</v>
      </c>
      <c r="Q2046" s="10" t="s">
        <v>8317</v>
      </c>
      <c r="R2046" s="10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30</v>
      </c>
      <c r="V2046">
        <f t="shared" si="191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 s="8">
        <f t="shared" si="187"/>
        <v>152.62</v>
      </c>
      <c r="Q2047" s="10" t="s">
        <v>8317</v>
      </c>
      <c r="R2047" s="10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30</v>
      </c>
      <c r="V2047">
        <f t="shared" si="191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 s="8">
        <f t="shared" si="187"/>
        <v>55.81</v>
      </c>
      <c r="Q2048" s="10" t="s">
        <v>8317</v>
      </c>
      <c r="R2048" s="10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30</v>
      </c>
      <c r="V2048">
        <f t="shared" si="191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 s="8">
        <f t="shared" si="187"/>
        <v>227.85</v>
      </c>
      <c r="Q2049" s="10" t="s">
        <v>8317</v>
      </c>
      <c r="R2049" s="10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29</v>
      </c>
      <c r="V2049">
        <f t="shared" si="191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ROUND((E2050/D2050)*100, 0)</f>
        <v>148</v>
      </c>
      <c r="P2050" s="8">
        <f t="shared" ref="P2050:P2113" si="193">IFERROR(ROUND(E2050/L2050, 2), 0)</f>
        <v>91.83</v>
      </c>
      <c r="Q2050" s="10" t="s">
        <v>8317</v>
      </c>
      <c r="R2050" s="10" t="s">
        <v>8347</v>
      </c>
      <c r="S2050" s="16">
        <f t="shared" ref="S2050:S2113" si="194">(J2050/60/60/24)+DATE(1970, 1, 1)</f>
        <v>41387.651516203703</v>
      </c>
      <c r="T2050" s="16">
        <f t="shared" ref="T2050:T2113" si="195">(I2050/60/60/24)+DATE(1970, 1, 1)</f>
        <v>41417.651516203703</v>
      </c>
      <c r="U2050">
        <f t="shared" si="190"/>
        <v>30</v>
      </c>
      <c r="V2050">
        <f t="shared" si="191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 s="8">
        <f t="shared" si="193"/>
        <v>80.989999999999995</v>
      </c>
      <c r="Q2051" s="10" t="s">
        <v>8317</v>
      </c>
      <c r="R2051" s="10" t="s">
        <v>8347</v>
      </c>
      <c r="S2051" s="16">
        <f t="shared" si="194"/>
        <v>41575.527349537035</v>
      </c>
      <c r="T2051" s="16">
        <f t="shared" si="195"/>
        <v>41610.957638888889</v>
      </c>
      <c r="U2051">
        <f t="shared" ref="U2051:U2114" si="196">ROUND(T2051-S2051, 0)</f>
        <v>35</v>
      </c>
      <c r="V2051">
        <f t="shared" ref="V2051:V2114" si="197">YEAR($S2051)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 s="8">
        <f t="shared" si="193"/>
        <v>278.39</v>
      </c>
      <c r="Q2052" s="10" t="s">
        <v>8317</v>
      </c>
      <c r="R2052" s="10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40</v>
      </c>
      <c r="V2052">
        <f t="shared" si="197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 s="8">
        <f t="shared" si="193"/>
        <v>43.1</v>
      </c>
      <c r="Q2053" s="10" t="s">
        <v>8317</v>
      </c>
      <c r="R2053" s="10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30</v>
      </c>
      <c r="V2053">
        <f t="shared" si="197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 s="8">
        <f t="shared" si="193"/>
        <v>326.29000000000002</v>
      </c>
      <c r="Q2054" s="10" t="s">
        <v>8317</v>
      </c>
      <c r="R2054" s="10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45</v>
      </c>
      <c r="V2054">
        <f t="shared" si="197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 s="8">
        <f t="shared" si="193"/>
        <v>41.74</v>
      </c>
      <c r="Q2055" s="10" t="s">
        <v>8317</v>
      </c>
      <c r="R2055" s="10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30</v>
      </c>
      <c r="V2055">
        <f t="shared" si="197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 s="8">
        <f t="shared" si="193"/>
        <v>64.02</v>
      </c>
      <c r="Q2056" s="10" t="s">
        <v>8317</v>
      </c>
      <c r="R2056" s="10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30</v>
      </c>
      <c r="V2056">
        <f t="shared" si="197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 s="8">
        <f t="shared" si="193"/>
        <v>99.46</v>
      </c>
      <c r="Q2057" s="10" t="s">
        <v>8317</v>
      </c>
      <c r="R2057" s="10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29</v>
      </c>
      <c r="V2057">
        <f t="shared" si="197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 s="8">
        <f t="shared" si="193"/>
        <v>138.49</v>
      </c>
      <c r="Q2058" s="10" t="s">
        <v>8317</v>
      </c>
      <c r="R2058" s="10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30</v>
      </c>
      <c r="V2058">
        <f t="shared" si="197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 s="8">
        <f t="shared" si="193"/>
        <v>45.55</v>
      </c>
      <c r="Q2059" s="10" t="s">
        <v>8317</v>
      </c>
      <c r="R2059" s="10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30</v>
      </c>
      <c r="V2059">
        <f t="shared" si="197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 s="8">
        <f t="shared" si="193"/>
        <v>10.51</v>
      </c>
      <c r="Q2060" s="10" t="s">
        <v>8317</v>
      </c>
      <c r="R2060" s="1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39</v>
      </c>
      <c r="V2060">
        <f t="shared" si="197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 s="8">
        <f t="shared" si="193"/>
        <v>114.77</v>
      </c>
      <c r="Q2061" s="10" t="s">
        <v>8317</v>
      </c>
      <c r="R2061" s="10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39</v>
      </c>
      <c r="V2061">
        <f t="shared" si="197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 s="8">
        <f t="shared" si="193"/>
        <v>36</v>
      </c>
      <c r="Q2062" s="10" t="s">
        <v>8317</v>
      </c>
      <c r="R2062" s="10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60</v>
      </c>
      <c r="V2062">
        <f t="shared" si="197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 s="8">
        <f t="shared" si="193"/>
        <v>154.16999999999999</v>
      </c>
      <c r="Q2063" s="10" t="s">
        <v>8317</v>
      </c>
      <c r="R2063" s="10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30</v>
      </c>
      <c r="V2063">
        <f t="shared" si="197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 s="8">
        <f t="shared" si="193"/>
        <v>566.39</v>
      </c>
      <c r="Q2064" s="10" t="s">
        <v>8317</v>
      </c>
      <c r="R2064" s="10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30</v>
      </c>
      <c r="V2064">
        <f t="shared" si="197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 s="8">
        <f t="shared" si="193"/>
        <v>120.86</v>
      </c>
      <c r="Q2065" s="10" t="s">
        <v>8317</v>
      </c>
      <c r="R2065" s="10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33</v>
      </c>
      <c r="V2065">
        <f t="shared" si="197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 s="8">
        <f t="shared" si="193"/>
        <v>86.16</v>
      </c>
      <c r="Q2066" s="10" t="s">
        <v>8317</v>
      </c>
      <c r="R2066" s="10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36</v>
      </c>
      <c r="V2066">
        <f t="shared" si="197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 s="8">
        <f t="shared" si="193"/>
        <v>51.21</v>
      </c>
      <c r="Q2067" s="10" t="s">
        <v>8317</v>
      </c>
      <c r="R2067" s="10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30</v>
      </c>
      <c r="V2067">
        <f t="shared" si="197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 s="8">
        <f t="shared" si="193"/>
        <v>67.260000000000005</v>
      </c>
      <c r="Q2068" s="10" t="s">
        <v>8317</v>
      </c>
      <c r="R2068" s="10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30</v>
      </c>
      <c r="V2068">
        <f t="shared" si="197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 s="8">
        <f t="shared" si="193"/>
        <v>62.8</v>
      </c>
      <c r="Q2069" s="10" t="s">
        <v>8317</v>
      </c>
      <c r="R2069" s="10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33</v>
      </c>
      <c r="V2069">
        <f t="shared" si="197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 s="8">
        <f t="shared" si="193"/>
        <v>346.13</v>
      </c>
      <c r="Q2070" s="10" t="s">
        <v>8317</v>
      </c>
      <c r="R2070" s="1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30</v>
      </c>
      <c r="V2070">
        <f t="shared" si="197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 s="8">
        <f t="shared" si="193"/>
        <v>244.12</v>
      </c>
      <c r="Q2071" s="10" t="s">
        <v>8317</v>
      </c>
      <c r="R2071" s="10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31</v>
      </c>
      <c r="V2071">
        <f t="shared" si="197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 s="8">
        <f t="shared" si="193"/>
        <v>259.25</v>
      </c>
      <c r="Q2072" s="10" t="s">
        <v>8317</v>
      </c>
      <c r="R2072" s="10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30</v>
      </c>
      <c r="V2072">
        <f t="shared" si="197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 s="8">
        <f t="shared" si="193"/>
        <v>201.96</v>
      </c>
      <c r="Q2073" s="10" t="s">
        <v>8317</v>
      </c>
      <c r="R2073" s="10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45</v>
      </c>
      <c r="V2073">
        <f t="shared" si="197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 s="8">
        <f t="shared" si="193"/>
        <v>226.21</v>
      </c>
      <c r="Q2074" s="10" t="s">
        <v>8317</v>
      </c>
      <c r="R2074" s="10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30</v>
      </c>
      <c r="V2074">
        <f t="shared" si="197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 s="8">
        <f t="shared" si="193"/>
        <v>324.69</v>
      </c>
      <c r="Q2075" s="10" t="s">
        <v>8317</v>
      </c>
      <c r="R2075" s="10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45</v>
      </c>
      <c r="V2075">
        <f t="shared" si="197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 s="8">
        <f t="shared" si="193"/>
        <v>205</v>
      </c>
      <c r="Q2076" s="10" t="s">
        <v>8317</v>
      </c>
      <c r="R2076" s="10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30</v>
      </c>
      <c r="V2076">
        <f t="shared" si="197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 s="8">
        <f t="shared" si="193"/>
        <v>20.47</v>
      </c>
      <c r="Q2077" s="10" t="s">
        <v>8317</v>
      </c>
      <c r="R2077" s="10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30</v>
      </c>
      <c r="V2077">
        <f t="shared" si="197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 s="8">
        <f t="shared" si="193"/>
        <v>116.35</v>
      </c>
      <c r="Q2078" s="10" t="s">
        <v>8317</v>
      </c>
      <c r="R2078" s="10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40</v>
      </c>
      <c r="V2078">
        <f t="shared" si="197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 s="8">
        <f t="shared" si="193"/>
        <v>307.2</v>
      </c>
      <c r="Q2079" s="10" t="s">
        <v>8317</v>
      </c>
      <c r="R2079" s="10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58</v>
      </c>
      <c r="V2079">
        <f t="shared" si="197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 s="8">
        <f t="shared" si="193"/>
        <v>546.69000000000005</v>
      </c>
      <c r="Q2080" s="10" t="s">
        <v>8317</v>
      </c>
      <c r="R2080" s="1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30</v>
      </c>
      <c r="V2080">
        <f t="shared" si="197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 s="8">
        <f t="shared" si="193"/>
        <v>47.47</v>
      </c>
      <c r="Q2081" s="10" t="s">
        <v>8317</v>
      </c>
      <c r="R2081" s="10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30</v>
      </c>
      <c r="V2081">
        <f t="shared" si="197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 s="8">
        <f t="shared" si="193"/>
        <v>101.56</v>
      </c>
      <c r="Q2082" s="10" t="s">
        <v>8317</v>
      </c>
      <c r="R2082" s="10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30</v>
      </c>
      <c r="V2082">
        <f t="shared" si="197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 s="8">
        <f t="shared" si="193"/>
        <v>72.91</v>
      </c>
      <c r="Q2083" s="10" t="s">
        <v>8323</v>
      </c>
      <c r="R2083" s="10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41</v>
      </c>
      <c r="V2083">
        <f t="shared" si="197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 s="8">
        <f t="shared" si="193"/>
        <v>43.71</v>
      </c>
      <c r="Q2084" s="10" t="s">
        <v>8323</v>
      </c>
      <c r="R2084" s="10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60</v>
      </c>
      <c r="V2084">
        <f t="shared" si="197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 s="8">
        <f t="shared" si="193"/>
        <v>34</v>
      </c>
      <c r="Q2085" s="10" t="s">
        <v>8323</v>
      </c>
      <c r="R2085" s="10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30</v>
      </c>
      <c r="V2085">
        <f t="shared" si="197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 s="8">
        <f t="shared" si="193"/>
        <v>70.650000000000006</v>
      </c>
      <c r="Q2086" s="10" t="s">
        <v>8323</v>
      </c>
      <c r="R2086" s="10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31</v>
      </c>
      <c r="V2086">
        <f t="shared" si="197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 s="8">
        <f t="shared" si="193"/>
        <v>89.3</v>
      </c>
      <c r="Q2087" s="10" t="s">
        <v>8323</v>
      </c>
      <c r="R2087" s="10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30</v>
      </c>
      <c r="V2087">
        <f t="shared" si="197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 s="8">
        <f t="shared" si="193"/>
        <v>115.09</v>
      </c>
      <c r="Q2088" s="10" t="s">
        <v>8323</v>
      </c>
      <c r="R2088" s="10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31</v>
      </c>
      <c r="V2088">
        <f t="shared" si="197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 s="8">
        <f t="shared" si="193"/>
        <v>62.12</v>
      </c>
      <c r="Q2089" s="10" t="s">
        <v>8323</v>
      </c>
      <c r="R2089" s="10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30</v>
      </c>
      <c r="V2089">
        <f t="shared" si="197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 s="8">
        <f t="shared" si="193"/>
        <v>46.2</v>
      </c>
      <c r="Q2090" s="10" t="s">
        <v>8323</v>
      </c>
      <c r="R2090" s="1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36</v>
      </c>
      <c r="V2090">
        <f t="shared" si="197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 s="8">
        <f t="shared" si="193"/>
        <v>48.55</v>
      </c>
      <c r="Q2091" s="10" t="s">
        <v>8323</v>
      </c>
      <c r="R2091" s="10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35</v>
      </c>
      <c r="V2091">
        <f t="shared" si="197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 s="8">
        <f t="shared" si="193"/>
        <v>57.52</v>
      </c>
      <c r="Q2092" s="10" t="s">
        <v>8323</v>
      </c>
      <c r="R2092" s="10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30</v>
      </c>
      <c r="V2092">
        <f t="shared" si="197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 s="8">
        <f t="shared" si="193"/>
        <v>88.15</v>
      </c>
      <c r="Q2093" s="10" t="s">
        <v>8323</v>
      </c>
      <c r="R2093" s="10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49</v>
      </c>
      <c r="V2093">
        <f t="shared" si="197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 s="8">
        <f t="shared" si="193"/>
        <v>110.49</v>
      </c>
      <c r="Q2094" s="10" t="s">
        <v>8323</v>
      </c>
      <c r="R2094" s="10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60</v>
      </c>
      <c r="V2094">
        <f t="shared" si="197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 s="8">
        <f t="shared" si="193"/>
        <v>66.83</v>
      </c>
      <c r="Q2095" s="10" t="s">
        <v>8323</v>
      </c>
      <c r="R2095" s="10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60</v>
      </c>
      <c r="V2095">
        <f t="shared" si="197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 s="8">
        <f t="shared" si="193"/>
        <v>58.6</v>
      </c>
      <c r="Q2096" s="10" t="s">
        <v>8323</v>
      </c>
      <c r="R2096" s="10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34</v>
      </c>
      <c r="V2096">
        <f t="shared" si="197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 s="8">
        <f t="shared" si="193"/>
        <v>113.64</v>
      </c>
      <c r="Q2097" s="10" t="s">
        <v>8323</v>
      </c>
      <c r="R2097" s="10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60</v>
      </c>
      <c r="V2097">
        <f t="shared" si="197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 s="8">
        <f t="shared" si="193"/>
        <v>43.57</v>
      </c>
      <c r="Q2098" s="10" t="s">
        <v>8323</v>
      </c>
      <c r="R2098" s="10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15</v>
      </c>
      <c r="V2098">
        <f t="shared" si="197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 s="8">
        <f t="shared" si="193"/>
        <v>78.95</v>
      </c>
      <c r="Q2099" s="10" t="s">
        <v>8323</v>
      </c>
      <c r="R2099" s="10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60</v>
      </c>
      <c r="V2099">
        <f t="shared" si="197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 s="8">
        <f t="shared" si="193"/>
        <v>188.13</v>
      </c>
      <c r="Q2100" s="10" t="s">
        <v>8323</v>
      </c>
      <c r="R2100" s="1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30</v>
      </c>
      <c r="V2100">
        <f t="shared" si="197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 s="8">
        <f t="shared" si="193"/>
        <v>63.03</v>
      </c>
      <c r="Q2101" s="10" t="s">
        <v>8323</v>
      </c>
      <c r="R2101" s="10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13</v>
      </c>
      <c r="V2101">
        <f t="shared" si="197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 s="8">
        <f t="shared" si="193"/>
        <v>30.37</v>
      </c>
      <c r="Q2102" s="10" t="s">
        <v>8323</v>
      </c>
      <c r="R2102" s="10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15</v>
      </c>
      <c r="V2102">
        <f t="shared" si="197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 s="8">
        <f t="shared" si="193"/>
        <v>51.48</v>
      </c>
      <c r="Q2103" s="10" t="s">
        <v>8323</v>
      </c>
      <c r="R2103" s="10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60</v>
      </c>
      <c r="V2103">
        <f t="shared" si="197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 s="8">
        <f t="shared" si="193"/>
        <v>35.79</v>
      </c>
      <c r="Q2104" s="10" t="s">
        <v>8323</v>
      </c>
      <c r="R2104" s="10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30</v>
      </c>
      <c r="V2104">
        <f t="shared" si="197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 s="8">
        <f t="shared" si="193"/>
        <v>98.82</v>
      </c>
      <c r="Q2105" s="10" t="s">
        <v>8323</v>
      </c>
      <c r="R2105" s="10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30</v>
      </c>
      <c r="V2105">
        <f t="shared" si="197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 s="8">
        <f t="shared" si="193"/>
        <v>28</v>
      </c>
      <c r="Q2106" s="10" t="s">
        <v>8323</v>
      </c>
      <c r="R2106" s="10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31</v>
      </c>
      <c r="V2106">
        <f t="shared" si="197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 s="8">
        <f t="shared" si="193"/>
        <v>51.31</v>
      </c>
      <c r="Q2107" s="10" t="s">
        <v>8323</v>
      </c>
      <c r="R2107" s="10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12</v>
      </c>
      <c r="V2107">
        <f t="shared" si="197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 s="8">
        <f t="shared" si="193"/>
        <v>53.52</v>
      </c>
      <c r="Q2108" s="10" t="s">
        <v>8323</v>
      </c>
      <c r="R2108" s="10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30</v>
      </c>
      <c r="V2108">
        <f t="shared" si="197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 s="8">
        <f t="shared" si="193"/>
        <v>37.15</v>
      </c>
      <c r="Q2109" s="10" t="s">
        <v>8323</v>
      </c>
      <c r="R2109" s="10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21</v>
      </c>
      <c r="V2109">
        <f t="shared" si="197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 s="8">
        <f t="shared" si="193"/>
        <v>89.9</v>
      </c>
      <c r="Q2110" s="10" t="s">
        <v>8323</v>
      </c>
      <c r="R2110" s="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27</v>
      </c>
      <c r="V2110">
        <f t="shared" si="197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 s="8">
        <f t="shared" si="193"/>
        <v>106.53</v>
      </c>
      <c r="Q2111" s="10" t="s">
        <v>8323</v>
      </c>
      <c r="R2111" s="10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30</v>
      </c>
      <c r="V2111">
        <f t="shared" si="197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 s="8">
        <f t="shared" si="193"/>
        <v>52.82</v>
      </c>
      <c r="Q2112" s="10" t="s">
        <v>8323</v>
      </c>
      <c r="R2112" s="10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28</v>
      </c>
      <c r="V2112">
        <f t="shared" si="197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 s="8">
        <f t="shared" si="193"/>
        <v>54.62</v>
      </c>
      <c r="Q2113" s="10" t="s">
        <v>8323</v>
      </c>
      <c r="R2113" s="10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67</v>
      </c>
      <c r="V2113">
        <f t="shared" si="197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ROUND((E2114/D2114)*100, 0)</f>
        <v>100</v>
      </c>
      <c r="P2114" s="8">
        <f t="shared" ref="P2114:P2177" si="199">IFERROR(ROUND(E2114/L2114, 2), 0)</f>
        <v>27.27</v>
      </c>
      <c r="Q2114" s="10" t="s">
        <v>8323</v>
      </c>
      <c r="R2114" s="10" t="s">
        <v>8327</v>
      </c>
      <c r="S2114" s="16">
        <f t="shared" ref="S2114:S2177" si="200">(J2114/60/60/24)+DATE(1970, 1, 1)</f>
        <v>41365.928159722222</v>
      </c>
      <c r="T2114" s="16">
        <f t="shared" ref="T2114:T2177" si="201">(I2114/60/60/24)+DATE(1970, 1, 1)</f>
        <v>41379.928159722222</v>
      </c>
      <c r="U2114">
        <f t="shared" si="196"/>
        <v>14</v>
      </c>
      <c r="V2114">
        <f t="shared" si="197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 s="8">
        <f t="shared" si="199"/>
        <v>68.599999999999994</v>
      </c>
      <c r="Q2115" s="10" t="s">
        <v>8323</v>
      </c>
      <c r="R2115" s="10" t="s">
        <v>8327</v>
      </c>
      <c r="S2115" s="16">
        <f t="shared" si="200"/>
        <v>41870.86546296296</v>
      </c>
      <c r="T2115" s="16">
        <f t="shared" si="201"/>
        <v>41905.86546296296</v>
      </c>
      <c r="U2115">
        <f t="shared" ref="U2115:U2178" si="202">ROUND(T2115-S2115, 0)</f>
        <v>35</v>
      </c>
      <c r="V2115">
        <f t="shared" ref="V2115:V2178" si="203">YEAR($S2115)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 s="8">
        <f t="shared" si="199"/>
        <v>35.61</v>
      </c>
      <c r="Q2116" s="10" t="s">
        <v>8323</v>
      </c>
      <c r="R2116" s="10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62</v>
      </c>
      <c r="V2116">
        <f t="shared" si="203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 s="8">
        <f t="shared" si="199"/>
        <v>94.03</v>
      </c>
      <c r="Q2117" s="10" t="s">
        <v>8323</v>
      </c>
      <c r="R2117" s="10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30</v>
      </c>
      <c r="V2117">
        <f t="shared" si="203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 s="8">
        <f t="shared" si="199"/>
        <v>526.46</v>
      </c>
      <c r="Q2118" s="10" t="s">
        <v>8323</v>
      </c>
      <c r="R2118" s="10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48</v>
      </c>
      <c r="V2118">
        <f t="shared" si="203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 s="8">
        <f t="shared" si="199"/>
        <v>50.66</v>
      </c>
      <c r="Q2119" s="10" t="s">
        <v>8323</v>
      </c>
      <c r="R2119" s="10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14</v>
      </c>
      <c r="V2119">
        <f t="shared" si="203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 s="8">
        <f t="shared" si="199"/>
        <v>79.180000000000007</v>
      </c>
      <c r="Q2120" s="10" t="s">
        <v>8323</v>
      </c>
      <c r="R2120" s="1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30</v>
      </c>
      <c r="V2120">
        <f t="shared" si="203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 s="8">
        <f t="shared" si="199"/>
        <v>91.59</v>
      </c>
      <c r="Q2121" s="10" t="s">
        <v>8323</v>
      </c>
      <c r="R2121" s="10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30</v>
      </c>
      <c r="V2121">
        <f t="shared" si="203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 s="8">
        <f t="shared" si="199"/>
        <v>116.96</v>
      </c>
      <c r="Q2122" s="10" t="s">
        <v>8323</v>
      </c>
      <c r="R2122" s="10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49</v>
      </c>
      <c r="V2122">
        <f t="shared" si="203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 s="8">
        <f t="shared" si="199"/>
        <v>28.4</v>
      </c>
      <c r="Q2123" s="10" t="s">
        <v>8331</v>
      </c>
      <c r="R2123" s="10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30</v>
      </c>
      <c r="V2123">
        <f t="shared" si="203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 s="8">
        <f t="shared" si="199"/>
        <v>103.33</v>
      </c>
      <c r="Q2124" s="10" t="s">
        <v>8331</v>
      </c>
      <c r="R2124" s="10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30</v>
      </c>
      <c r="V2124">
        <f t="shared" si="203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 s="8">
        <f t="shared" si="199"/>
        <v>10</v>
      </c>
      <c r="Q2125" s="10" t="s">
        <v>8331</v>
      </c>
      <c r="R2125" s="10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54</v>
      </c>
      <c r="V2125">
        <f t="shared" si="203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 s="8">
        <f t="shared" si="199"/>
        <v>23</v>
      </c>
      <c r="Q2126" s="10" t="s">
        <v>8331</v>
      </c>
      <c r="R2126" s="10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48</v>
      </c>
      <c r="V2126">
        <f t="shared" si="203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 s="8">
        <f t="shared" si="199"/>
        <v>31.56</v>
      </c>
      <c r="Q2127" s="10" t="s">
        <v>8331</v>
      </c>
      <c r="R2127" s="10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30</v>
      </c>
      <c r="V2127">
        <f t="shared" si="203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 s="8">
        <f t="shared" si="199"/>
        <v>5</v>
      </c>
      <c r="Q2128" s="10" t="s">
        <v>8331</v>
      </c>
      <c r="R2128" s="10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30</v>
      </c>
      <c r="V2128">
        <f t="shared" si="203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 s="8">
        <f t="shared" si="199"/>
        <v>34.22</v>
      </c>
      <c r="Q2129" s="10" t="s">
        <v>8331</v>
      </c>
      <c r="R2129" s="10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30</v>
      </c>
      <c r="V2129">
        <f t="shared" si="203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 s="8">
        <f t="shared" si="199"/>
        <v>25</v>
      </c>
      <c r="Q2130" s="10" t="s">
        <v>8331</v>
      </c>
      <c r="R2130" s="1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60</v>
      </c>
      <c r="V2130">
        <f t="shared" si="203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 s="8">
        <f t="shared" si="199"/>
        <v>19.670000000000002</v>
      </c>
      <c r="Q2131" s="10" t="s">
        <v>8331</v>
      </c>
      <c r="R2131" s="10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30</v>
      </c>
      <c r="V2131">
        <f t="shared" si="203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 s="8">
        <f t="shared" si="199"/>
        <v>21.25</v>
      </c>
      <c r="Q2132" s="10" t="s">
        <v>8331</v>
      </c>
      <c r="R2132" s="10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35</v>
      </c>
      <c r="V2132">
        <f t="shared" si="203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 s="8">
        <f t="shared" si="199"/>
        <v>8.33</v>
      </c>
      <c r="Q2133" s="10" t="s">
        <v>8331</v>
      </c>
      <c r="R2133" s="10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30</v>
      </c>
      <c r="V2133">
        <f t="shared" si="203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 s="8">
        <f t="shared" si="199"/>
        <v>21.34</v>
      </c>
      <c r="Q2134" s="10" t="s">
        <v>8331</v>
      </c>
      <c r="R2134" s="10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30</v>
      </c>
      <c r="V2134">
        <f t="shared" si="203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 s="8">
        <f t="shared" si="199"/>
        <v>5.33</v>
      </c>
      <c r="Q2135" s="10" t="s">
        <v>8331</v>
      </c>
      <c r="R2135" s="10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38</v>
      </c>
      <c r="V2135">
        <f t="shared" si="203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 s="8">
        <f t="shared" si="199"/>
        <v>34.67</v>
      </c>
      <c r="Q2136" s="10" t="s">
        <v>8331</v>
      </c>
      <c r="R2136" s="10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30</v>
      </c>
      <c r="V2136">
        <f t="shared" si="203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 s="8">
        <f t="shared" si="199"/>
        <v>21.73</v>
      </c>
      <c r="Q2137" s="10" t="s">
        <v>8331</v>
      </c>
      <c r="R2137" s="10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30</v>
      </c>
      <c r="V2137">
        <f t="shared" si="203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 s="8">
        <f t="shared" si="199"/>
        <v>11.92</v>
      </c>
      <c r="Q2138" s="10" t="s">
        <v>8331</v>
      </c>
      <c r="R2138" s="10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30</v>
      </c>
      <c r="V2138">
        <f t="shared" si="203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 s="8">
        <f t="shared" si="199"/>
        <v>26.6</v>
      </c>
      <c r="Q2139" s="10" t="s">
        <v>8331</v>
      </c>
      <c r="R2139" s="10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30</v>
      </c>
      <c r="V2139">
        <f t="shared" si="203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 s="8">
        <f t="shared" si="199"/>
        <v>10.67</v>
      </c>
      <c r="Q2140" s="10" t="s">
        <v>8331</v>
      </c>
      <c r="R2140" s="1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30</v>
      </c>
      <c r="V2140">
        <f t="shared" si="203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 s="8">
        <f t="shared" si="199"/>
        <v>29.04</v>
      </c>
      <c r="Q2141" s="10" t="s">
        <v>8331</v>
      </c>
      <c r="R2141" s="10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30</v>
      </c>
      <c r="V2141">
        <f t="shared" si="203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 s="8">
        <f t="shared" si="199"/>
        <v>50.91</v>
      </c>
      <c r="Q2142" s="10" t="s">
        <v>8331</v>
      </c>
      <c r="R2142" s="10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30</v>
      </c>
      <c r="V2142">
        <f t="shared" si="203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 s="8">
        <f t="shared" si="199"/>
        <v>0</v>
      </c>
      <c r="Q2143" s="10" t="s">
        <v>8331</v>
      </c>
      <c r="R2143" s="10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30</v>
      </c>
      <c r="V2143">
        <f t="shared" si="203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 s="8">
        <f t="shared" si="199"/>
        <v>50.08</v>
      </c>
      <c r="Q2144" s="10" t="s">
        <v>8331</v>
      </c>
      <c r="R2144" s="10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28</v>
      </c>
      <c r="V2144">
        <f t="shared" si="203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 s="8">
        <f t="shared" si="199"/>
        <v>45</v>
      </c>
      <c r="Q2145" s="10" t="s">
        <v>8331</v>
      </c>
      <c r="R2145" s="10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48</v>
      </c>
      <c r="V2145">
        <f t="shared" si="203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 s="8">
        <f t="shared" si="199"/>
        <v>25.29</v>
      </c>
      <c r="Q2146" s="10" t="s">
        <v>8331</v>
      </c>
      <c r="R2146" s="10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32</v>
      </c>
      <c r="V2146">
        <f t="shared" si="203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 s="8">
        <f t="shared" si="199"/>
        <v>51.29</v>
      </c>
      <c r="Q2147" s="10" t="s">
        <v>8331</v>
      </c>
      <c r="R2147" s="10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30</v>
      </c>
      <c r="V2147">
        <f t="shared" si="203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 s="8">
        <f t="shared" si="199"/>
        <v>1</v>
      </c>
      <c r="Q2148" s="10" t="s">
        <v>8331</v>
      </c>
      <c r="R2148" s="10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14</v>
      </c>
      <c r="V2148">
        <f t="shared" si="203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 s="8">
        <f t="shared" si="199"/>
        <v>49.38</v>
      </c>
      <c r="Q2149" s="10" t="s">
        <v>8331</v>
      </c>
      <c r="R2149" s="10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32</v>
      </c>
      <c r="V2149">
        <f t="shared" si="203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 s="8">
        <f t="shared" si="199"/>
        <v>1</v>
      </c>
      <c r="Q2150" s="10" t="s">
        <v>8331</v>
      </c>
      <c r="R2150" s="1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30</v>
      </c>
      <c r="V2150">
        <f t="shared" si="203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 s="8">
        <f t="shared" si="199"/>
        <v>0</v>
      </c>
      <c r="Q2151" s="10" t="s">
        <v>8331</v>
      </c>
      <c r="R2151" s="10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35</v>
      </c>
      <c r="V2151">
        <f t="shared" si="203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 s="8">
        <f t="shared" si="199"/>
        <v>101.25</v>
      </c>
      <c r="Q2152" s="10" t="s">
        <v>8331</v>
      </c>
      <c r="R2152" s="10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30</v>
      </c>
      <c r="V2152">
        <f t="shared" si="203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 s="8">
        <f t="shared" si="199"/>
        <v>19.670000000000002</v>
      </c>
      <c r="Q2153" s="10" t="s">
        <v>8331</v>
      </c>
      <c r="R2153" s="10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30</v>
      </c>
      <c r="V2153">
        <f t="shared" si="203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 s="8">
        <f t="shared" si="199"/>
        <v>12.5</v>
      </c>
      <c r="Q2154" s="10" t="s">
        <v>8331</v>
      </c>
      <c r="R2154" s="10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30</v>
      </c>
      <c r="V2154">
        <f t="shared" si="203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 s="8">
        <f t="shared" si="199"/>
        <v>8.5</v>
      </c>
      <c r="Q2155" s="10" t="s">
        <v>8331</v>
      </c>
      <c r="R2155" s="10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39</v>
      </c>
      <c r="V2155">
        <f t="shared" si="203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 s="8">
        <f t="shared" si="199"/>
        <v>1</v>
      </c>
      <c r="Q2156" s="10" t="s">
        <v>8331</v>
      </c>
      <c r="R2156" s="10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</v>
      </c>
      <c r="V2156">
        <f t="shared" si="203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 s="8">
        <f t="shared" si="199"/>
        <v>23</v>
      </c>
      <c r="Q2157" s="10" t="s">
        <v>8331</v>
      </c>
      <c r="R2157" s="10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30</v>
      </c>
      <c r="V2157">
        <f t="shared" si="203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 s="8">
        <f t="shared" si="199"/>
        <v>17.989999999999998</v>
      </c>
      <c r="Q2158" s="10" t="s">
        <v>8331</v>
      </c>
      <c r="R2158" s="10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45</v>
      </c>
      <c r="V2158">
        <f t="shared" si="203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 s="8">
        <f t="shared" si="199"/>
        <v>370.95</v>
      </c>
      <c r="Q2159" s="10" t="s">
        <v>8331</v>
      </c>
      <c r="R2159" s="10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32</v>
      </c>
      <c r="V2159">
        <f t="shared" si="203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 s="8">
        <f t="shared" si="199"/>
        <v>63.57</v>
      </c>
      <c r="Q2160" s="10" t="s">
        <v>8331</v>
      </c>
      <c r="R2160" s="1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45</v>
      </c>
      <c r="V2160">
        <f t="shared" si="203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 s="8">
        <f t="shared" si="199"/>
        <v>13</v>
      </c>
      <c r="Q2161" s="10" t="s">
        <v>8331</v>
      </c>
      <c r="R2161" s="10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30</v>
      </c>
      <c r="V2161">
        <f t="shared" si="203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 s="8">
        <f t="shared" si="199"/>
        <v>5.31</v>
      </c>
      <c r="Q2162" s="10" t="s">
        <v>8331</v>
      </c>
      <c r="R2162" s="10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30</v>
      </c>
      <c r="V2162">
        <f t="shared" si="203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 s="8">
        <f t="shared" si="199"/>
        <v>35.619999999999997</v>
      </c>
      <c r="Q2163" s="10" t="s">
        <v>8323</v>
      </c>
      <c r="R2163" s="10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30</v>
      </c>
      <c r="V2163">
        <f t="shared" si="203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 s="8">
        <f t="shared" si="199"/>
        <v>87.1</v>
      </c>
      <c r="Q2164" s="10" t="s">
        <v>8323</v>
      </c>
      <c r="R2164" s="10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31</v>
      </c>
      <c r="V2164">
        <f t="shared" si="203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 s="8">
        <f t="shared" si="199"/>
        <v>75.11</v>
      </c>
      <c r="Q2165" s="10" t="s">
        <v>8323</v>
      </c>
      <c r="R2165" s="10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51</v>
      </c>
      <c r="V2165">
        <f t="shared" si="203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 s="8">
        <f t="shared" si="199"/>
        <v>68.010000000000005</v>
      </c>
      <c r="Q2166" s="10" t="s">
        <v>8323</v>
      </c>
      <c r="R2166" s="10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30</v>
      </c>
      <c r="V2166">
        <f t="shared" si="203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 s="8">
        <f t="shared" si="199"/>
        <v>29.62</v>
      </c>
      <c r="Q2167" s="10" t="s">
        <v>8323</v>
      </c>
      <c r="R2167" s="10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30</v>
      </c>
      <c r="V2167">
        <f t="shared" si="203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 s="8">
        <f t="shared" si="199"/>
        <v>91.63</v>
      </c>
      <c r="Q2168" s="10" t="s">
        <v>8323</v>
      </c>
      <c r="R2168" s="10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45</v>
      </c>
      <c r="V2168">
        <f t="shared" si="203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 s="8">
        <f t="shared" si="199"/>
        <v>22.5</v>
      </c>
      <c r="Q2169" s="10" t="s">
        <v>8323</v>
      </c>
      <c r="R2169" s="10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14</v>
      </c>
      <c r="V2169">
        <f t="shared" si="203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 s="8">
        <f t="shared" si="199"/>
        <v>64.37</v>
      </c>
      <c r="Q2170" s="10" t="s">
        <v>8323</v>
      </c>
      <c r="R2170" s="1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31</v>
      </c>
      <c r="V2170">
        <f t="shared" si="203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 s="8">
        <f t="shared" si="199"/>
        <v>21.86</v>
      </c>
      <c r="Q2171" s="10" t="s">
        <v>8323</v>
      </c>
      <c r="R2171" s="10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3</v>
      </c>
      <c r="V2171">
        <f t="shared" si="203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 s="8">
        <f t="shared" si="199"/>
        <v>33.32</v>
      </c>
      <c r="Q2172" s="10" t="s">
        <v>8323</v>
      </c>
      <c r="R2172" s="10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40</v>
      </c>
      <c r="V2172">
        <f t="shared" si="203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 s="8">
        <f t="shared" si="199"/>
        <v>90.28</v>
      </c>
      <c r="Q2173" s="10" t="s">
        <v>8323</v>
      </c>
      <c r="R2173" s="10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35</v>
      </c>
      <c r="V2173">
        <f t="shared" si="203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 s="8">
        <f t="shared" si="199"/>
        <v>76.92</v>
      </c>
      <c r="Q2174" s="10" t="s">
        <v>8323</v>
      </c>
      <c r="R2174" s="10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30</v>
      </c>
      <c r="V2174">
        <f t="shared" si="203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 s="8">
        <f t="shared" si="199"/>
        <v>59.23</v>
      </c>
      <c r="Q2175" s="10" t="s">
        <v>8323</v>
      </c>
      <c r="R2175" s="10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31</v>
      </c>
      <c r="V2175">
        <f t="shared" si="203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 s="8">
        <f t="shared" si="199"/>
        <v>65.38</v>
      </c>
      <c r="Q2176" s="10" t="s">
        <v>8323</v>
      </c>
      <c r="R2176" s="10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30</v>
      </c>
      <c r="V2176">
        <f t="shared" si="203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 s="8">
        <f t="shared" si="199"/>
        <v>67.31</v>
      </c>
      <c r="Q2177" s="10" t="s">
        <v>8323</v>
      </c>
      <c r="R2177" s="10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7</v>
      </c>
      <c r="V2177">
        <f t="shared" si="203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ROUND((E2178/D2178)*100, 0)</f>
        <v>126</v>
      </c>
      <c r="P2178" s="8">
        <f t="shared" ref="P2178:P2241" si="205">IFERROR(ROUND(E2178/L2178, 2), 0)</f>
        <v>88.75</v>
      </c>
      <c r="Q2178" s="10" t="s">
        <v>8323</v>
      </c>
      <c r="R2178" s="10" t="s">
        <v>8324</v>
      </c>
      <c r="S2178" s="16">
        <f t="shared" ref="S2178:S2241" si="206">(J2178/60/60/24)+DATE(1970, 1, 1)</f>
        <v>42096.633206018523</v>
      </c>
      <c r="T2178" s="16">
        <f t="shared" ref="T2178:T2241" si="207">(I2178/60/60/24)+DATE(1970, 1, 1)</f>
        <v>42126.633206018523</v>
      </c>
      <c r="U2178">
        <f t="shared" si="202"/>
        <v>30</v>
      </c>
      <c r="V2178">
        <f t="shared" si="203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 s="8">
        <f t="shared" si="205"/>
        <v>65.87</v>
      </c>
      <c r="Q2179" s="10" t="s">
        <v>8323</v>
      </c>
      <c r="R2179" s="10" t="s">
        <v>8324</v>
      </c>
      <c r="S2179" s="16">
        <f t="shared" si="206"/>
        <v>42502.250775462962</v>
      </c>
      <c r="T2179" s="16">
        <f t="shared" si="207"/>
        <v>42527.250775462962</v>
      </c>
      <c r="U2179">
        <f t="shared" ref="U2179:U2242" si="208">ROUND(T2179-S2179, 0)</f>
        <v>25</v>
      </c>
      <c r="V2179">
        <f t="shared" ref="V2179:V2242" si="209">YEAR($S2179)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 s="8">
        <f t="shared" si="205"/>
        <v>40.35</v>
      </c>
      <c r="Q2180" s="10" t="s">
        <v>8323</v>
      </c>
      <c r="R2180" s="1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30</v>
      </c>
      <c r="V2180">
        <f t="shared" si="209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 s="8">
        <f t="shared" si="205"/>
        <v>76.86</v>
      </c>
      <c r="Q2181" s="10" t="s">
        <v>8323</v>
      </c>
      <c r="R2181" s="10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30</v>
      </c>
      <c r="V2181">
        <f t="shared" si="20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 s="8">
        <f t="shared" si="205"/>
        <v>68.709999999999994</v>
      </c>
      <c r="Q2182" s="10" t="s">
        <v>8323</v>
      </c>
      <c r="R2182" s="10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42</v>
      </c>
      <c r="V2182">
        <f t="shared" si="209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 s="8">
        <f t="shared" si="205"/>
        <v>57.77</v>
      </c>
      <c r="Q2183" s="10" t="s">
        <v>8331</v>
      </c>
      <c r="R2183" s="10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14</v>
      </c>
      <c r="V2183">
        <f t="shared" si="209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 s="8">
        <f t="shared" si="205"/>
        <v>44.17</v>
      </c>
      <c r="Q2184" s="10" t="s">
        <v>8331</v>
      </c>
      <c r="R2184" s="10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35</v>
      </c>
      <c r="V2184">
        <f t="shared" si="20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 s="8">
        <f t="shared" si="205"/>
        <v>31.57</v>
      </c>
      <c r="Q2185" s="10" t="s">
        <v>8331</v>
      </c>
      <c r="R2185" s="10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30</v>
      </c>
      <c r="V2185">
        <f t="shared" si="209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 s="8">
        <f t="shared" si="205"/>
        <v>107.05</v>
      </c>
      <c r="Q2186" s="10" t="s">
        <v>8331</v>
      </c>
      <c r="R2186" s="10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14</v>
      </c>
      <c r="V2186">
        <f t="shared" si="20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 s="8">
        <f t="shared" si="205"/>
        <v>149.03</v>
      </c>
      <c r="Q2187" s="10" t="s">
        <v>8331</v>
      </c>
      <c r="R2187" s="10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40</v>
      </c>
      <c r="V2187">
        <f t="shared" si="209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 s="8">
        <f t="shared" si="205"/>
        <v>55.96</v>
      </c>
      <c r="Q2188" s="10" t="s">
        <v>8331</v>
      </c>
      <c r="R2188" s="10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36</v>
      </c>
      <c r="V2188">
        <f t="shared" si="20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 s="8">
        <f t="shared" si="205"/>
        <v>56.97</v>
      </c>
      <c r="Q2189" s="10" t="s">
        <v>8331</v>
      </c>
      <c r="R2189" s="10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29</v>
      </c>
      <c r="V2189">
        <f t="shared" si="20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 s="8">
        <f t="shared" si="205"/>
        <v>44.06</v>
      </c>
      <c r="Q2190" s="10" t="s">
        <v>8331</v>
      </c>
      <c r="R2190" s="1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35</v>
      </c>
      <c r="V2190">
        <f t="shared" si="20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 s="8">
        <f t="shared" si="205"/>
        <v>68.63</v>
      </c>
      <c r="Q2191" s="10" t="s">
        <v>8331</v>
      </c>
      <c r="R2191" s="10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14</v>
      </c>
      <c r="V2191">
        <f t="shared" si="20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 s="8">
        <f t="shared" si="205"/>
        <v>65.319999999999993</v>
      </c>
      <c r="Q2192" s="10" t="s">
        <v>8331</v>
      </c>
      <c r="R2192" s="10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35</v>
      </c>
      <c r="V2192">
        <f t="shared" si="20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 s="8">
        <f t="shared" si="205"/>
        <v>35.92</v>
      </c>
      <c r="Q2193" s="10" t="s">
        <v>8331</v>
      </c>
      <c r="R2193" s="10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12</v>
      </c>
      <c r="V2193">
        <f t="shared" si="20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 s="8">
        <f t="shared" si="205"/>
        <v>40.07</v>
      </c>
      <c r="Q2194" s="10" t="s">
        <v>8331</v>
      </c>
      <c r="R2194" s="10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28</v>
      </c>
      <c r="V2194">
        <f t="shared" si="209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 s="8">
        <f t="shared" si="205"/>
        <v>75.650000000000006</v>
      </c>
      <c r="Q2195" s="10" t="s">
        <v>8331</v>
      </c>
      <c r="R2195" s="10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31</v>
      </c>
      <c r="V2195">
        <f t="shared" si="209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 s="8">
        <f t="shared" si="205"/>
        <v>61.2</v>
      </c>
      <c r="Q2196" s="10" t="s">
        <v>8331</v>
      </c>
      <c r="R2196" s="10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30</v>
      </c>
      <c r="V2196">
        <f t="shared" si="20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 s="8">
        <f t="shared" si="205"/>
        <v>48.13</v>
      </c>
      <c r="Q2197" s="10" t="s">
        <v>8331</v>
      </c>
      <c r="R2197" s="10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30</v>
      </c>
      <c r="V2197">
        <f t="shared" si="20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 s="8">
        <f t="shared" si="205"/>
        <v>68.11</v>
      </c>
      <c r="Q2198" s="10" t="s">
        <v>8331</v>
      </c>
      <c r="R2198" s="10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31</v>
      </c>
      <c r="V2198">
        <f t="shared" si="209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 s="8">
        <f t="shared" si="205"/>
        <v>65.89</v>
      </c>
      <c r="Q2199" s="10" t="s">
        <v>8331</v>
      </c>
      <c r="R2199" s="10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30</v>
      </c>
      <c r="V2199">
        <f t="shared" si="20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 s="8">
        <f t="shared" si="205"/>
        <v>81.650000000000006</v>
      </c>
      <c r="Q2200" s="10" t="s">
        <v>8331</v>
      </c>
      <c r="R2200" s="1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30</v>
      </c>
      <c r="V2200">
        <f t="shared" si="20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 s="8">
        <f t="shared" si="205"/>
        <v>52.7</v>
      </c>
      <c r="Q2201" s="10" t="s">
        <v>8331</v>
      </c>
      <c r="R2201" s="10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30</v>
      </c>
      <c r="V2201">
        <f t="shared" si="20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 s="8">
        <f t="shared" si="205"/>
        <v>41.23</v>
      </c>
      <c r="Q2202" s="10" t="s">
        <v>8331</v>
      </c>
      <c r="R2202" s="10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27</v>
      </c>
      <c r="V2202">
        <f t="shared" si="20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 s="8">
        <f t="shared" si="205"/>
        <v>15.04</v>
      </c>
      <c r="Q2203" s="10" t="s">
        <v>8323</v>
      </c>
      <c r="R2203" s="10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14</v>
      </c>
      <c r="V2203">
        <f t="shared" si="20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 s="8">
        <f t="shared" si="205"/>
        <v>39.07</v>
      </c>
      <c r="Q2204" s="10" t="s">
        <v>8323</v>
      </c>
      <c r="R2204" s="10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30</v>
      </c>
      <c r="V2204">
        <f t="shared" si="20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 s="8">
        <f t="shared" si="205"/>
        <v>43.82</v>
      </c>
      <c r="Q2205" s="10" t="s">
        <v>8323</v>
      </c>
      <c r="R2205" s="10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30</v>
      </c>
      <c r="V2205">
        <f t="shared" si="20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 s="8">
        <f t="shared" si="205"/>
        <v>27.3</v>
      </c>
      <c r="Q2206" s="10" t="s">
        <v>8323</v>
      </c>
      <c r="R2206" s="10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30</v>
      </c>
      <c r="V2206">
        <f t="shared" si="20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 s="8">
        <f t="shared" si="205"/>
        <v>42.22</v>
      </c>
      <c r="Q2207" s="10" t="s">
        <v>8323</v>
      </c>
      <c r="R2207" s="10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30</v>
      </c>
      <c r="V2207">
        <f t="shared" si="20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 s="8">
        <f t="shared" si="205"/>
        <v>33.24</v>
      </c>
      <c r="Q2208" s="10" t="s">
        <v>8323</v>
      </c>
      <c r="R2208" s="10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18</v>
      </c>
      <c r="V2208">
        <f t="shared" si="20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 s="8">
        <f t="shared" si="205"/>
        <v>285.70999999999998</v>
      </c>
      <c r="Q2209" s="10" t="s">
        <v>8323</v>
      </c>
      <c r="R2209" s="10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30</v>
      </c>
      <c r="V2209">
        <f t="shared" si="20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 s="8">
        <f t="shared" si="205"/>
        <v>42.33</v>
      </c>
      <c r="Q2210" s="10" t="s">
        <v>8323</v>
      </c>
      <c r="R2210" s="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59</v>
      </c>
      <c r="V2210">
        <f t="shared" si="20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 s="8">
        <f t="shared" si="205"/>
        <v>50.27</v>
      </c>
      <c r="Q2211" s="10" t="s">
        <v>8323</v>
      </c>
      <c r="R2211" s="10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11</v>
      </c>
      <c r="V2211">
        <f t="shared" si="20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 s="8">
        <f t="shared" si="205"/>
        <v>61.9</v>
      </c>
      <c r="Q2212" s="10" t="s">
        <v>8323</v>
      </c>
      <c r="R2212" s="10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58</v>
      </c>
      <c r="V2212">
        <f t="shared" si="20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 s="8">
        <f t="shared" si="205"/>
        <v>40.75</v>
      </c>
      <c r="Q2213" s="10" t="s">
        <v>8323</v>
      </c>
      <c r="R2213" s="10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23</v>
      </c>
      <c r="V2213">
        <f t="shared" si="20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 s="8">
        <f t="shared" si="205"/>
        <v>55.8</v>
      </c>
      <c r="Q2214" s="10" t="s">
        <v>8323</v>
      </c>
      <c r="R2214" s="10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33</v>
      </c>
      <c r="V2214">
        <f t="shared" si="209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 s="8">
        <f t="shared" si="205"/>
        <v>10</v>
      </c>
      <c r="Q2215" s="10" t="s">
        <v>8323</v>
      </c>
      <c r="R2215" s="10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30</v>
      </c>
      <c r="V2215">
        <f t="shared" si="209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 s="8">
        <f t="shared" si="205"/>
        <v>73.13</v>
      </c>
      <c r="Q2216" s="10" t="s">
        <v>8323</v>
      </c>
      <c r="R2216" s="10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30</v>
      </c>
      <c r="V2216">
        <f t="shared" si="20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 s="8">
        <f t="shared" si="205"/>
        <v>26.06</v>
      </c>
      <c r="Q2217" s="10" t="s">
        <v>8323</v>
      </c>
      <c r="R2217" s="10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23</v>
      </c>
      <c r="V2217">
        <f t="shared" si="20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 s="8">
        <f t="shared" si="205"/>
        <v>22.64</v>
      </c>
      <c r="Q2218" s="10" t="s">
        <v>8323</v>
      </c>
      <c r="R2218" s="10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14</v>
      </c>
      <c r="V2218">
        <f t="shared" si="20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 s="8">
        <f t="shared" si="205"/>
        <v>47.22</v>
      </c>
      <c r="Q2219" s="10" t="s">
        <v>8323</v>
      </c>
      <c r="R2219" s="10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11</v>
      </c>
      <c r="V2219">
        <f t="shared" si="20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 s="8">
        <f t="shared" si="205"/>
        <v>32.32</v>
      </c>
      <c r="Q2220" s="10" t="s">
        <v>8323</v>
      </c>
      <c r="R2220" s="1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22</v>
      </c>
      <c r="V2220">
        <f t="shared" si="20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 s="8">
        <f t="shared" si="205"/>
        <v>53.42</v>
      </c>
      <c r="Q2221" s="10" t="s">
        <v>8323</v>
      </c>
      <c r="R2221" s="10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30</v>
      </c>
      <c r="V2221">
        <f t="shared" si="20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 s="8">
        <f t="shared" si="205"/>
        <v>51.3</v>
      </c>
      <c r="Q2222" s="10" t="s">
        <v>8323</v>
      </c>
      <c r="R2222" s="10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30</v>
      </c>
      <c r="V2222">
        <f t="shared" si="20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 s="8">
        <f t="shared" si="205"/>
        <v>37.200000000000003</v>
      </c>
      <c r="Q2223" s="10" t="s">
        <v>8331</v>
      </c>
      <c r="R2223" s="10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30</v>
      </c>
      <c r="V2223">
        <f t="shared" si="20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 s="8">
        <f t="shared" si="205"/>
        <v>27.1</v>
      </c>
      <c r="Q2224" s="10" t="s">
        <v>8331</v>
      </c>
      <c r="R2224" s="10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30</v>
      </c>
      <c r="V2224">
        <f t="shared" si="209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 s="8">
        <f t="shared" si="205"/>
        <v>206.31</v>
      </c>
      <c r="Q2225" s="10" t="s">
        <v>8331</v>
      </c>
      <c r="R2225" s="10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30</v>
      </c>
      <c r="V2225">
        <f t="shared" si="20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 s="8">
        <f t="shared" si="205"/>
        <v>82.15</v>
      </c>
      <c r="Q2226" s="10" t="s">
        <v>8331</v>
      </c>
      <c r="R2226" s="10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28</v>
      </c>
      <c r="V2226">
        <f t="shared" si="20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 s="8">
        <f t="shared" si="205"/>
        <v>164.8</v>
      </c>
      <c r="Q2227" s="10" t="s">
        <v>8331</v>
      </c>
      <c r="R2227" s="10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30</v>
      </c>
      <c r="V2227">
        <f t="shared" si="20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 s="8">
        <f t="shared" si="205"/>
        <v>60.82</v>
      </c>
      <c r="Q2228" s="10" t="s">
        <v>8331</v>
      </c>
      <c r="R2228" s="10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30</v>
      </c>
      <c r="V2228">
        <f t="shared" si="20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 s="8">
        <f t="shared" si="205"/>
        <v>67.97</v>
      </c>
      <c r="Q2229" s="10" t="s">
        <v>8331</v>
      </c>
      <c r="R2229" s="10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30</v>
      </c>
      <c r="V2229">
        <f t="shared" si="209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 s="8">
        <f t="shared" si="205"/>
        <v>81.56</v>
      </c>
      <c r="Q2230" s="10" t="s">
        <v>8331</v>
      </c>
      <c r="R2230" s="1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30</v>
      </c>
      <c r="V2230">
        <f t="shared" si="20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 s="8">
        <f t="shared" si="205"/>
        <v>25.43</v>
      </c>
      <c r="Q2231" s="10" t="s">
        <v>8331</v>
      </c>
      <c r="R2231" s="10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36</v>
      </c>
      <c r="V2231">
        <f t="shared" si="20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 s="8">
        <f t="shared" si="205"/>
        <v>21.5</v>
      </c>
      <c r="Q2232" s="10" t="s">
        <v>8331</v>
      </c>
      <c r="R2232" s="10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30</v>
      </c>
      <c r="V2232">
        <f t="shared" si="20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 s="8">
        <f t="shared" si="205"/>
        <v>27.23</v>
      </c>
      <c r="Q2233" s="10" t="s">
        <v>8331</v>
      </c>
      <c r="R2233" s="10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26</v>
      </c>
      <c r="V2233">
        <f t="shared" si="20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 s="8">
        <f t="shared" si="205"/>
        <v>25.09</v>
      </c>
      <c r="Q2234" s="10" t="s">
        <v>8331</v>
      </c>
      <c r="R2234" s="10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32</v>
      </c>
      <c r="V2234">
        <f t="shared" si="20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 s="8">
        <f t="shared" si="205"/>
        <v>21.23</v>
      </c>
      <c r="Q2235" s="10" t="s">
        <v>8331</v>
      </c>
      <c r="R2235" s="10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21</v>
      </c>
      <c r="V2235">
        <f t="shared" si="20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 s="8">
        <f t="shared" si="205"/>
        <v>41.61</v>
      </c>
      <c r="Q2236" s="10" t="s">
        <v>8331</v>
      </c>
      <c r="R2236" s="10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30</v>
      </c>
      <c r="V2236">
        <f t="shared" si="209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 s="8">
        <f t="shared" si="205"/>
        <v>135.59</v>
      </c>
      <c r="Q2237" s="10" t="s">
        <v>8331</v>
      </c>
      <c r="R2237" s="10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30</v>
      </c>
      <c r="V2237">
        <f t="shared" si="209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 s="8">
        <f t="shared" si="205"/>
        <v>22.12</v>
      </c>
      <c r="Q2238" s="10" t="s">
        <v>8331</v>
      </c>
      <c r="R2238" s="10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30</v>
      </c>
      <c r="V2238">
        <f t="shared" si="20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 s="8">
        <f t="shared" si="205"/>
        <v>64.63</v>
      </c>
      <c r="Q2239" s="10" t="s">
        <v>8331</v>
      </c>
      <c r="R2239" s="10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40</v>
      </c>
      <c r="V2239">
        <f t="shared" si="20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 s="8">
        <f t="shared" si="205"/>
        <v>69.569999999999993</v>
      </c>
      <c r="Q2240" s="10" t="s">
        <v>8331</v>
      </c>
      <c r="R2240" s="1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30</v>
      </c>
      <c r="V2240">
        <f t="shared" si="20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 s="8">
        <f t="shared" si="205"/>
        <v>75.13</v>
      </c>
      <c r="Q2241" s="10" t="s">
        <v>8331</v>
      </c>
      <c r="R2241" s="10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36</v>
      </c>
      <c r="V2241">
        <f t="shared" si="20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ROUND((E2242/D2242)*100, 0)</f>
        <v>271</v>
      </c>
      <c r="P2242" s="8">
        <f t="shared" ref="P2242:P2305" si="211">IFERROR(ROUND(E2242/L2242, 2), 0)</f>
        <v>140.97999999999999</v>
      </c>
      <c r="Q2242" s="10" t="s">
        <v>8331</v>
      </c>
      <c r="R2242" s="10" t="s">
        <v>8349</v>
      </c>
      <c r="S2242" s="16">
        <f t="shared" ref="S2242:S2305" si="212">(J2242/60/60/24)+DATE(1970, 1, 1)</f>
        <v>42452.825740740736</v>
      </c>
      <c r="T2242" s="16">
        <f t="shared" ref="T2242:T2305" si="213">(I2242/60/60/24)+DATE(1970, 1, 1)</f>
        <v>42482.825740740736</v>
      </c>
      <c r="U2242">
        <f t="shared" si="208"/>
        <v>30</v>
      </c>
      <c r="V2242">
        <f t="shared" si="20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 s="8">
        <f t="shared" si="211"/>
        <v>49.47</v>
      </c>
      <c r="Q2243" s="10" t="s">
        <v>8331</v>
      </c>
      <c r="R2243" s="10" t="s">
        <v>8349</v>
      </c>
      <c r="S2243" s="16">
        <f t="shared" si="212"/>
        <v>42766.827546296292</v>
      </c>
      <c r="T2243" s="16">
        <f t="shared" si="213"/>
        <v>42796.827546296292</v>
      </c>
      <c r="U2243">
        <f t="shared" ref="U2243:U2306" si="214">ROUND(T2243-S2243, 0)</f>
        <v>30</v>
      </c>
      <c r="V2243">
        <f t="shared" ref="V2243:V2306" si="215">YEAR($S2243)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 s="8">
        <f t="shared" si="211"/>
        <v>53.87</v>
      </c>
      <c r="Q2244" s="10" t="s">
        <v>8331</v>
      </c>
      <c r="R2244" s="10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36</v>
      </c>
      <c r="V2244">
        <f t="shared" si="215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 s="8">
        <f t="shared" si="211"/>
        <v>4.57</v>
      </c>
      <c r="Q2245" s="10" t="s">
        <v>8331</v>
      </c>
      <c r="R2245" s="10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6</v>
      </c>
      <c r="V2245">
        <f t="shared" si="215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 s="8">
        <f t="shared" si="211"/>
        <v>65</v>
      </c>
      <c r="Q2246" s="10" t="s">
        <v>8331</v>
      </c>
      <c r="R2246" s="10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12</v>
      </c>
      <c r="V2246">
        <f t="shared" si="215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 s="8">
        <f t="shared" si="211"/>
        <v>53.48</v>
      </c>
      <c r="Q2247" s="10" t="s">
        <v>8331</v>
      </c>
      <c r="R2247" s="10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31</v>
      </c>
      <c r="V2247">
        <f t="shared" si="215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 s="8">
        <f t="shared" si="211"/>
        <v>43.91</v>
      </c>
      <c r="Q2248" s="10" t="s">
        <v>8331</v>
      </c>
      <c r="R2248" s="10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30</v>
      </c>
      <c r="V2248">
        <f t="shared" si="215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 s="8">
        <f t="shared" si="211"/>
        <v>50.85</v>
      </c>
      <c r="Q2249" s="10" t="s">
        <v>8331</v>
      </c>
      <c r="R2249" s="10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14</v>
      </c>
      <c r="V2249">
        <f t="shared" si="215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 s="8">
        <f t="shared" si="211"/>
        <v>58.63</v>
      </c>
      <c r="Q2250" s="10" t="s">
        <v>8331</v>
      </c>
      <c r="R2250" s="1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30</v>
      </c>
      <c r="V2250">
        <f t="shared" si="215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 s="8">
        <f t="shared" si="211"/>
        <v>32.82</v>
      </c>
      <c r="Q2251" s="10" t="s">
        <v>8331</v>
      </c>
      <c r="R2251" s="10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30</v>
      </c>
      <c r="V2251">
        <f t="shared" si="215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 s="8">
        <f t="shared" si="211"/>
        <v>426.93</v>
      </c>
      <c r="Q2252" s="10" t="s">
        <v>8331</v>
      </c>
      <c r="R2252" s="10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30</v>
      </c>
      <c r="V2252">
        <f t="shared" si="215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 s="8">
        <f t="shared" si="211"/>
        <v>23.81</v>
      </c>
      <c r="Q2253" s="10" t="s">
        <v>8331</v>
      </c>
      <c r="R2253" s="10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21</v>
      </c>
      <c r="V2253">
        <f t="shared" si="215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 s="8">
        <f t="shared" si="211"/>
        <v>98.41</v>
      </c>
      <c r="Q2254" s="10" t="s">
        <v>8331</v>
      </c>
      <c r="R2254" s="10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15</v>
      </c>
      <c r="V2254">
        <f t="shared" si="215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 s="8">
        <f t="shared" si="211"/>
        <v>107.32</v>
      </c>
      <c r="Q2255" s="10" t="s">
        <v>8331</v>
      </c>
      <c r="R2255" s="10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30</v>
      </c>
      <c r="V2255">
        <f t="shared" si="215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 s="8">
        <f t="shared" si="211"/>
        <v>11.67</v>
      </c>
      <c r="Q2256" s="10" t="s">
        <v>8331</v>
      </c>
      <c r="R2256" s="10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7</v>
      </c>
      <c r="V2256">
        <f t="shared" si="215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 s="8">
        <f t="shared" si="211"/>
        <v>41.78</v>
      </c>
      <c r="Q2257" s="10" t="s">
        <v>8331</v>
      </c>
      <c r="R2257" s="10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30</v>
      </c>
      <c r="V2257">
        <f t="shared" si="215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 s="8">
        <f t="shared" si="211"/>
        <v>21.38</v>
      </c>
      <c r="Q2258" s="10" t="s">
        <v>8331</v>
      </c>
      <c r="R2258" s="10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14</v>
      </c>
      <c r="V2258">
        <f t="shared" si="215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 s="8">
        <f t="shared" si="211"/>
        <v>94.1</v>
      </c>
      <c r="Q2259" s="10" t="s">
        <v>8331</v>
      </c>
      <c r="R2259" s="10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35</v>
      </c>
      <c r="V2259">
        <f t="shared" si="215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 s="8">
        <f t="shared" si="211"/>
        <v>15.72</v>
      </c>
      <c r="Q2260" s="10" t="s">
        <v>8331</v>
      </c>
      <c r="R2260" s="1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30</v>
      </c>
      <c r="V2260">
        <f t="shared" si="215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 s="8">
        <f t="shared" si="211"/>
        <v>90.64</v>
      </c>
      <c r="Q2261" s="10" t="s">
        <v>8331</v>
      </c>
      <c r="R2261" s="10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10</v>
      </c>
      <c r="V2261">
        <f t="shared" si="215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 s="8">
        <f t="shared" si="211"/>
        <v>97.3</v>
      </c>
      <c r="Q2262" s="10" t="s">
        <v>8331</v>
      </c>
      <c r="R2262" s="10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30</v>
      </c>
      <c r="V2262">
        <f t="shared" si="215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 s="8">
        <f t="shared" si="211"/>
        <v>37.119999999999997</v>
      </c>
      <c r="Q2263" s="10" t="s">
        <v>8331</v>
      </c>
      <c r="R2263" s="10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21</v>
      </c>
      <c r="V2263">
        <f t="shared" si="215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 s="8">
        <f t="shared" si="211"/>
        <v>28.1</v>
      </c>
      <c r="Q2264" s="10" t="s">
        <v>8331</v>
      </c>
      <c r="R2264" s="10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34</v>
      </c>
      <c r="V2264">
        <f t="shared" si="215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 s="8">
        <f t="shared" si="211"/>
        <v>144.43</v>
      </c>
      <c r="Q2265" s="10" t="s">
        <v>8331</v>
      </c>
      <c r="R2265" s="10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21</v>
      </c>
      <c r="V2265">
        <f t="shared" si="215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 s="8">
        <f t="shared" si="211"/>
        <v>24.27</v>
      </c>
      <c r="Q2266" s="10" t="s">
        <v>8331</v>
      </c>
      <c r="R2266" s="10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17</v>
      </c>
      <c r="V2266">
        <f t="shared" si="215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 s="8">
        <f t="shared" si="211"/>
        <v>35.119999999999997</v>
      </c>
      <c r="Q2267" s="10" t="s">
        <v>8331</v>
      </c>
      <c r="R2267" s="10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7</v>
      </c>
      <c r="V2267">
        <f t="shared" si="215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 s="8">
        <f t="shared" si="211"/>
        <v>24.76</v>
      </c>
      <c r="Q2268" s="10" t="s">
        <v>8331</v>
      </c>
      <c r="R2268" s="10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17</v>
      </c>
      <c r="V2268">
        <f t="shared" si="215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 s="8">
        <f t="shared" si="211"/>
        <v>188.38</v>
      </c>
      <c r="Q2269" s="10" t="s">
        <v>8331</v>
      </c>
      <c r="R2269" s="10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25</v>
      </c>
      <c r="V2269">
        <f t="shared" si="215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 s="8">
        <f t="shared" si="211"/>
        <v>148.08000000000001</v>
      </c>
      <c r="Q2270" s="10" t="s">
        <v>8331</v>
      </c>
      <c r="R2270" s="1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30</v>
      </c>
      <c r="V2270">
        <f t="shared" si="215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 s="8">
        <f t="shared" si="211"/>
        <v>49.93</v>
      </c>
      <c r="Q2271" s="10" t="s">
        <v>8331</v>
      </c>
      <c r="R2271" s="10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25</v>
      </c>
      <c r="V2271">
        <f t="shared" si="215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 s="8">
        <f t="shared" si="211"/>
        <v>107.82</v>
      </c>
      <c r="Q2272" s="10" t="s">
        <v>8331</v>
      </c>
      <c r="R2272" s="10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</v>
      </c>
      <c r="V2272">
        <f t="shared" si="215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 s="8">
        <f t="shared" si="211"/>
        <v>42.63</v>
      </c>
      <c r="Q2273" s="10" t="s">
        <v>8331</v>
      </c>
      <c r="R2273" s="10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30</v>
      </c>
      <c r="V2273">
        <f t="shared" si="215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 s="8">
        <f t="shared" si="211"/>
        <v>14.37</v>
      </c>
      <c r="Q2274" s="10" t="s">
        <v>8331</v>
      </c>
      <c r="R2274" s="10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30</v>
      </c>
      <c r="V2274">
        <f t="shared" si="215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 s="8">
        <f t="shared" si="211"/>
        <v>37.479999999999997</v>
      </c>
      <c r="Q2275" s="10" t="s">
        <v>8331</v>
      </c>
      <c r="R2275" s="10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25</v>
      </c>
      <c r="V2275">
        <f t="shared" si="215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 s="8">
        <f t="shared" si="211"/>
        <v>30.2</v>
      </c>
      <c r="Q2276" s="10" t="s">
        <v>8331</v>
      </c>
      <c r="R2276" s="10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30</v>
      </c>
      <c r="V2276">
        <f t="shared" si="215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 s="8">
        <f t="shared" si="211"/>
        <v>33.549999999999997</v>
      </c>
      <c r="Q2277" s="10" t="s">
        <v>8331</v>
      </c>
      <c r="R2277" s="10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30</v>
      </c>
      <c r="V2277">
        <f t="shared" si="215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 s="8">
        <f t="shared" si="211"/>
        <v>64.75</v>
      </c>
      <c r="Q2278" s="10" t="s">
        <v>8331</v>
      </c>
      <c r="R2278" s="10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30</v>
      </c>
      <c r="V2278">
        <f t="shared" si="215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 s="8">
        <f t="shared" si="211"/>
        <v>57.93</v>
      </c>
      <c r="Q2279" s="10" t="s">
        <v>8331</v>
      </c>
      <c r="R2279" s="10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30</v>
      </c>
      <c r="V2279">
        <f t="shared" si="215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 s="8">
        <f t="shared" si="211"/>
        <v>53.08</v>
      </c>
      <c r="Q2280" s="10" t="s">
        <v>8331</v>
      </c>
      <c r="R2280" s="1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34</v>
      </c>
      <c r="V2280">
        <f t="shared" si="215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 s="8">
        <f t="shared" si="211"/>
        <v>48.06</v>
      </c>
      <c r="Q2281" s="10" t="s">
        <v>8331</v>
      </c>
      <c r="R2281" s="10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18</v>
      </c>
      <c r="V2281">
        <f t="shared" si="215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 s="8">
        <f t="shared" si="211"/>
        <v>82.4</v>
      </c>
      <c r="Q2282" s="10" t="s">
        <v>8331</v>
      </c>
      <c r="R2282" s="10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30</v>
      </c>
      <c r="V2282">
        <f t="shared" si="215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 s="8">
        <f t="shared" si="211"/>
        <v>50.45</v>
      </c>
      <c r="Q2283" s="10" t="s">
        <v>8323</v>
      </c>
      <c r="R2283" s="10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62</v>
      </c>
      <c r="V2283">
        <f t="shared" si="215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 s="8">
        <f t="shared" si="211"/>
        <v>115.83</v>
      </c>
      <c r="Q2284" s="10" t="s">
        <v>8323</v>
      </c>
      <c r="R2284" s="10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60</v>
      </c>
      <c r="V2284">
        <f t="shared" si="215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 s="8">
        <f t="shared" si="211"/>
        <v>63.03</v>
      </c>
      <c r="Q2285" s="10" t="s">
        <v>8323</v>
      </c>
      <c r="R2285" s="10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60</v>
      </c>
      <c r="V2285">
        <f t="shared" si="215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 s="8">
        <f t="shared" si="211"/>
        <v>108.02</v>
      </c>
      <c r="Q2286" s="10" t="s">
        <v>8323</v>
      </c>
      <c r="R2286" s="10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28</v>
      </c>
      <c r="V2286">
        <f t="shared" si="215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 s="8">
        <f t="shared" si="211"/>
        <v>46.09</v>
      </c>
      <c r="Q2287" s="10" t="s">
        <v>8323</v>
      </c>
      <c r="R2287" s="10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30</v>
      </c>
      <c r="V2287">
        <f t="shared" si="215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 s="8">
        <f t="shared" si="211"/>
        <v>107.21</v>
      </c>
      <c r="Q2288" s="10" t="s">
        <v>8323</v>
      </c>
      <c r="R2288" s="10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28</v>
      </c>
      <c r="V2288">
        <f t="shared" si="215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 s="8">
        <f t="shared" si="211"/>
        <v>50.93</v>
      </c>
      <c r="Q2289" s="10" t="s">
        <v>8323</v>
      </c>
      <c r="R2289" s="10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21</v>
      </c>
      <c r="V2289">
        <f t="shared" si="215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 s="8">
        <f t="shared" si="211"/>
        <v>40.04</v>
      </c>
      <c r="Q2290" s="10" t="s">
        <v>8323</v>
      </c>
      <c r="R2290" s="1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19</v>
      </c>
      <c r="V2290">
        <f t="shared" si="215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 s="8">
        <f t="shared" si="211"/>
        <v>64.44</v>
      </c>
      <c r="Q2291" s="10" t="s">
        <v>8323</v>
      </c>
      <c r="R2291" s="10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43</v>
      </c>
      <c r="V2291">
        <f t="shared" si="215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 s="8">
        <f t="shared" si="211"/>
        <v>53.83</v>
      </c>
      <c r="Q2292" s="10" t="s">
        <v>8323</v>
      </c>
      <c r="R2292" s="10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78</v>
      </c>
      <c r="V2292">
        <f t="shared" si="215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 s="8">
        <f t="shared" si="211"/>
        <v>100.47</v>
      </c>
      <c r="Q2293" s="10" t="s">
        <v>8323</v>
      </c>
      <c r="R2293" s="10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34</v>
      </c>
      <c r="V2293">
        <f t="shared" si="215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 s="8">
        <f t="shared" si="211"/>
        <v>46.63</v>
      </c>
      <c r="Q2294" s="10" t="s">
        <v>8323</v>
      </c>
      <c r="R2294" s="10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30</v>
      </c>
      <c r="V2294">
        <f t="shared" si="215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 s="8">
        <f t="shared" si="211"/>
        <v>34.07</v>
      </c>
      <c r="Q2295" s="10" t="s">
        <v>8323</v>
      </c>
      <c r="R2295" s="10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25</v>
      </c>
      <c r="V2295">
        <f t="shared" si="215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 s="8">
        <f t="shared" si="211"/>
        <v>65.209999999999994</v>
      </c>
      <c r="Q2296" s="10" t="s">
        <v>8323</v>
      </c>
      <c r="R2296" s="10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30</v>
      </c>
      <c r="V2296">
        <f t="shared" si="215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 s="8">
        <f t="shared" si="211"/>
        <v>44.21</v>
      </c>
      <c r="Q2297" s="10" t="s">
        <v>8323</v>
      </c>
      <c r="R2297" s="10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30</v>
      </c>
      <c r="V2297">
        <f t="shared" si="215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 s="8">
        <f t="shared" si="211"/>
        <v>71.97</v>
      </c>
      <c r="Q2298" s="10" t="s">
        <v>8323</v>
      </c>
      <c r="R2298" s="10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35</v>
      </c>
      <c r="V2298">
        <f t="shared" si="215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 s="8">
        <f t="shared" si="211"/>
        <v>52.95</v>
      </c>
      <c r="Q2299" s="10" t="s">
        <v>8323</v>
      </c>
      <c r="R2299" s="10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34</v>
      </c>
      <c r="V2299">
        <f t="shared" si="215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 s="8">
        <f t="shared" si="211"/>
        <v>109.45</v>
      </c>
      <c r="Q2300" s="10" t="s">
        <v>8323</v>
      </c>
      <c r="R2300" s="1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30</v>
      </c>
      <c r="V2300">
        <f t="shared" si="215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 s="8">
        <f t="shared" si="211"/>
        <v>75.040000000000006</v>
      </c>
      <c r="Q2301" s="10" t="s">
        <v>8323</v>
      </c>
      <c r="R2301" s="10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15</v>
      </c>
      <c r="V2301">
        <f t="shared" si="215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 s="8">
        <f t="shared" si="211"/>
        <v>115.71</v>
      </c>
      <c r="Q2302" s="10" t="s">
        <v>8323</v>
      </c>
      <c r="R2302" s="10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14</v>
      </c>
      <c r="V2302">
        <f t="shared" si="215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 s="8">
        <f t="shared" si="211"/>
        <v>31.66</v>
      </c>
      <c r="Q2303" s="10" t="s">
        <v>8323</v>
      </c>
      <c r="R2303" s="10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30</v>
      </c>
      <c r="V2303">
        <f t="shared" si="215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 s="8">
        <f t="shared" si="211"/>
        <v>46.18</v>
      </c>
      <c r="Q2304" s="10" t="s">
        <v>8323</v>
      </c>
      <c r="R2304" s="10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33</v>
      </c>
      <c r="V2304">
        <f t="shared" si="215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 s="8">
        <f t="shared" si="211"/>
        <v>68.48</v>
      </c>
      <c r="Q2305" s="10" t="s">
        <v>8323</v>
      </c>
      <c r="R2305" s="10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40</v>
      </c>
      <c r="V2305">
        <f t="shared" si="215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ROUND((E2306/D2306)*100, 0)</f>
        <v>101</v>
      </c>
      <c r="P2306" s="8">
        <f t="shared" ref="P2306:P2369" si="217">IFERROR(ROUND(E2306/L2306, 2), 0)</f>
        <v>53.47</v>
      </c>
      <c r="Q2306" s="10" t="s">
        <v>8323</v>
      </c>
      <c r="R2306" s="10" t="s">
        <v>8327</v>
      </c>
      <c r="S2306" s="16">
        <f t="shared" ref="S2306:S2369" si="218">(J2306/60/60/24)+DATE(1970, 1, 1)</f>
        <v>40502.815868055557</v>
      </c>
      <c r="T2306" s="16">
        <f t="shared" ref="T2306:T2369" si="219">(I2306/60/60/24)+DATE(1970, 1, 1)</f>
        <v>40544.207638888889</v>
      </c>
      <c r="U2306">
        <f t="shared" si="214"/>
        <v>41</v>
      </c>
      <c r="V2306">
        <f t="shared" si="215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 s="8">
        <f t="shared" si="217"/>
        <v>109.11</v>
      </c>
      <c r="Q2307" s="10" t="s">
        <v>8323</v>
      </c>
      <c r="R2307" s="10" t="s">
        <v>8327</v>
      </c>
      <c r="S2307" s="16">
        <f t="shared" si="218"/>
        <v>41834.695277777777</v>
      </c>
      <c r="T2307" s="16">
        <f t="shared" si="219"/>
        <v>41859.75</v>
      </c>
      <c r="U2307">
        <f t="shared" ref="U2307:U2370" si="220">ROUND(T2307-S2307, 0)</f>
        <v>25</v>
      </c>
      <c r="V2307">
        <f t="shared" ref="V2307:V2370" si="221">YEAR($S2307)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 s="8">
        <f t="shared" si="217"/>
        <v>51.19</v>
      </c>
      <c r="Q2308" s="10" t="s">
        <v>8323</v>
      </c>
      <c r="R2308" s="10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30</v>
      </c>
      <c r="V2308">
        <f t="shared" si="221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 s="8">
        <f t="shared" si="217"/>
        <v>27.94</v>
      </c>
      <c r="Q2309" s="10" t="s">
        <v>8323</v>
      </c>
      <c r="R2309" s="10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30</v>
      </c>
      <c r="V2309">
        <f t="shared" si="221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 s="8">
        <f t="shared" si="217"/>
        <v>82.5</v>
      </c>
      <c r="Q2310" s="10" t="s">
        <v>8323</v>
      </c>
      <c r="R2310" s="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28</v>
      </c>
      <c r="V2310">
        <f t="shared" si="221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 s="8">
        <f t="shared" si="217"/>
        <v>59.82</v>
      </c>
      <c r="Q2311" s="10" t="s">
        <v>8323</v>
      </c>
      <c r="R2311" s="10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35</v>
      </c>
      <c r="V2311">
        <f t="shared" si="221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 s="8">
        <f t="shared" si="217"/>
        <v>64.819999999999993</v>
      </c>
      <c r="Q2312" s="10" t="s">
        <v>8323</v>
      </c>
      <c r="R2312" s="10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30</v>
      </c>
      <c r="V2312">
        <f t="shared" si="221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 s="8">
        <f t="shared" si="217"/>
        <v>90.1</v>
      </c>
      <c r="Q2313" s="10" t="s">
        <v>8323</v>
      </c>
      <c r="R2313" s="10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30</v>
      </c>
      <c r="V2313">
        <f t="shared" si="221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 s="8">
        <f t="shared" si="217"/>
        <v>40.96</v>
      </c>
      <c r="Q2314" s="10" t="s">
        <v>8323</v>
      </c>
      <c r="R2314" s="10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31</v>
      </c>
      <c r="V2314">
        <f t="shared" si="221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 s="8">
        <f t="shared" si="217"/>
        <v>56</v>
      </c>
      <c r="Q2315" s="10" t="s">
        <v>8323</v>
      </c>
      <c r="R2315" s="10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30</v>
      </c>
      <c r="V2315">
        <f t="shared" si="221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 s="8">
        <f t="shared" si="217"/>
        <v>37.67</v>
      </c>
      <c r="Q2316" s="10" t="s">
        <v>8323</v>
      </c>
      <c r="R2316" s="10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30</v>
      </c>
      <c r="V2316">
        <f t="shared" si="221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 s="8">
        <f t="shared" si="217"/>
        <v>40.08</v>
      </c>
      <c r="Q2317" s="10" t="s">
        <v>8323</v>
      </c>
      <c r="R2317" s="10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30</v>
      </c>
      <c r="V2317">
        <f t="shared" si="221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 s="8">
        <f t="shared" si="217"/>
        <v>78.03</v>
      </c>
      <c r="Q2318" s="10" t="s">
        <v>8323</v>
      </c>
      <c r="R2318" s="10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77</v>
      </c>
      <c r="V2318">
        <f t="shared" si="221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 s="8">
        <f t="shared" si="217"/>
        <v>18.91</v>
      </c>
      <c r="Q2319" s="10" t="s">
        <v>8323</v>
      </c>
      <c r="R2319" s="10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32</v>
      </c>
      <c r="V2319">
        <f t="shared" si="221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 s="8">
        <f t="shared" si="217"/>
        <v>37.130000000000003</v>
      </c>
      <c r="Q2320" s="10" t="s">
        <v>8323</v>
      </c>
      <c r="R2320" s="1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32</v>
      </c>
      <c r="V2320">
        <f t="shared" si="221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 s="8">
        <f t="shared" si="217"/>
        <v>41.96</v>
      </c>
      <c r="Q2321" s="10" t="s">
        <v>8323</v>
      </c>
      <c r="R2321" s="10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30</v>
      </c>
      <c r="V2321">
        <f t="shared" si="221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 s="8">
        <f t="shared" si="217"/>
        <v>61.04</v>
      </c>
      <c r="Q2322" s="10" t="s">
        <v>8323</v>
      </c>
      <c r="R2322" s="10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35</v>
      </c>
      <c r="V2322">
        <f t="shared" si="221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 s="8">
        <f t="shared" si="217"/>
        <v>64.53</v>
      </c>
      <c r="Q2323" s="10" t="s">
        <v>8334</v>
      </c>
      <c r="R2323" s="10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30</v>
      </c>
      <c r="V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 s="8">
        <f t="shared" si="217"/>
        <v>21.25</v>
      </c>
      <c r="Q2324" s="10" t="s">
        <v>8334</v>
      </c>
      <c r="R2324" s="10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30</v>
      </c>
      <c r="V2324">
        <f t="shared" si="221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 s="8">
        <f t="shared" si="217"/>
        <v>30</v>
      </c>
      <c r="Q2325" s="10" t="s">
        <v>8334</v>
      </c>
      <c r="R2325" s="10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7</v>
      </c>
      <c r="V2325">
        <f t="shared" si="221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 s="8">
        <f t="shared" si="217"/>
        <v>25.49</v>
      </c>
      <c r="Q2326" s="10" t="s">
        <v>8334</v>
      </c>
      <c r="R2326" s="10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30</v>
      </c>
      <c r="V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 s="8">
        <f t="shared" si="217"/>
        <v>11.43</v>
      </c>
      <c r="Q2327" s="10" t="s">
        <v>8334</v>
      </c>
      <c r="R2327" s="10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30</v>
      </c>
      <c r="V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 s="8">
        <f t="shared" si="217"/>
        <v>108</v>
      </c>
      <c r="Q2328" s="10" t="s">
        <v>8334</v>
      </c>
      <c r="R2328" s="10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52</v>
      </c>
      <c r="V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 s="8">
        <f t="shared" si="217"/>
        <v>54.88</v>
      </c>
      <c r="Q2329" s="10" t="s">
        <v>8334</v>
      </c>
      <c r="R2329" s="10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35</v>
      </c>
      <c r="V2329">
        <f t="shared" si="221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 s="8">
        <f t="shared" si="217"/>
        <v>47.38</v>
      </c>
      <c r="Q2330" s="10" t="s">
        <v>8334</v>
      </c>
      <c r="R2330" s="1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30</v>
      </c>
      <c r="V2330">
        <f t="shared" si="221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 s="8">
        <f t="shared" si="217"/>
        <v>211.84</v>
      </c>
      <c r="Q2331" s="10" t="s">
        <v>8334</v>
      </c>
      <c r="R2331" s="10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30</v>
      </c>
      <c r="V2331">
        <f t="shared" si="221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 s="8">
        <f t="shared" si="217"/>
        <v>219.93</v>
      </c>
      <c r="Q2332" s="10" t="s">
        <v>8334</v>
      </c>
      <c r="R2332" s="10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30</v>
      </c>
      <c r="V2332">
        <f t="shared" si="221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 s="8">
        <f t="shared" si="217"/>
        <v>40.799999999999997</v>
      </c>
      <c r="Q2333" s="10" t="s">
        <v>8334</v>
      </c>
      <c r="R2333" s="10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30</v>
      </c>
      <c r="V2333">
        <f t="shared" si="221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 s="8">
        <f t="shared" si="217"/>
        <v>75.5</v>
      </c>
      <c r="Q2334" s="10" t="s">
        <v>8334</v>
      </c>
      <c r="R2334" s="10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30</v>
      </c>
      <c r="V2334">
        <f t="shared" si="221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 s="8">
        <f t="shared" si="217"/>
        <v>13.54</v>
      </c>
      <c r="Q2335" s="10" t="s">
        <v>8334</v>
      </c>
      <c r="R2335" s="10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21</v>
      </c>
      <c r="V2335">
        <f t="shared" si="221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 s="8">
        <f t="shared" si="217"/>
        <v>60.87</v>
      </c>
      <c r="Q2336" s="10" t="s">
        <v>8334</v>
      </c>
      <c r="R2336" s="10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30</v>
      </c>
      <c r="V2336">
        <f t="shared" si="221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 s="8">
        <f t="shared" si="217"/>
        <v>115.69</v>
      </c>
      <c r="Q2337" s="10" t="s">
        <v>8334</v>
      </c>
      <c r="R2337" s="10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30</v>
      </c>
      <c r="V2337">
        <f t="shared" si="221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 s="8">
        <f t="shared" si="217"/>
        <v>48.1</v>
      </c>
      <c r="Q2338" s="10" t="s">
        <v>8334</v>
      </c>
      <c r="R2338" s="10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40</v>
      </c>
      <c r="V2338">
        <f t="shared" si="221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 s="8">
        <f t="shared" si="217"/>
        <v>74.180000000000007</v>
      </c>
      <c r="Q2339" s="10" t="s">
        <v>8334</v>
      </c>
      <c r="R2339" s="10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30</v>
      </c>
      <c r="V2339">
        <f t="shared" si="221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 s="8">
        <f t="shared" si="217"/>
        <v>123.35</v>
      </c>
      <c r="Q2340" s="10" t="s">
        <v>8334</v>
      </c>
      <c r="R2340" s="1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30</v>
      </c>
      <c r="V2340">
        <f t="shared" si="221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 s="8">
        <f t="shared" si="217"/>
        <v>66.62</v>
      </c>
      <c r="Q2341" s="10" t="s">
        <v>8334</v>
      </c>
      <c r="R2341" s="10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31</v>
      </c>
      <c r="V2341">
        <f t="shared" si="221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 s="8">
        <f t="shared" si="217"/>
        <v>104.99</v>
      </c>
      <c r="Q2342" s="10" t="s">
        <v>8334</v>
      </c>
      <c r="R2342" s="10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30</v>
      </c>
      <c r="V2342">
        <f t="shared" si="221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 s="8">
        <f t="shared" si="217"/>
        <v>0</v>
      </c>
      <c r="Q2343" s="10" t="s">
        <v>8317</v>
      </c>
      <c r="R2343" s="10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30</v>
      </c>
      <c r="V2343">
        <f t="shared" si="221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 s="8">
        <f t="shared" si="217"/>
        <v>0</v>
      </c>
      <c r="Q2344" s="10" t="s">
        <v>8317</v>
      </c>
      <c r="R2344" s="10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21</v>
      </c>
      <c r="V2344">
        <f t="shared" si="221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 s="8">
        <f t="shared" si="217"/>
        <v>300</v>
      </c>
      <c r="Q2345" s="10" t="s">
        <v>8317</v>
      </c>
      <c r="R2345" s="10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50</v>
      </c>
      <c r="V2345">
        <f t="shared" si="221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 s="8">
        <f t="shared" si="217"/>
        <v>1</v>
      </c>
      <c r="Q2346" s="10" t="s">
        <v>8317</v>
      </c>
      <c r="R2346" s="10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30</v>
      </c>
      <c r="V2346">
        <f t="shared" si="221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 s="8">
        <f t="shared" si="217"/>
        <v>0</v>
      </c>
      <c r="Q2347" s="10" t="s">
        <v>8317</v>
      </c>
      <c r="R2347" s="10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35</v>
      </c>
      <c r="V2347">
        <f t="shared" si="221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 s="8">
        <f t="shared" si="217"/>
        <v>13</v>
      </c>
      <c r="Q2348" s="10" t="s">
        <v>8317</v>
      </c>
      <c r="R2348" s="10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45</v>
      </c>
      <c r="V2348">
        <f t="shared" si="221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 s="8">
        <f t="shared" si="217"/>
        <v>15</v>
      </c>
      <c r="Q2349" s="10" t="s">
        <v>8317</v>
      </c>
      <c r="R2349" s="10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30</v>
      </c>
      <c r="V2349">
        <f t="shared" si="221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 s="8">
        <f t="shared" si="217"/>
        <v>54</v>
      </c>
      <c r="Q2350" s="10" t="s">
        <v>8317</v>
      </c>
      <c r="R2350" s="1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60</v>
      </c>
      <c r="V2350">
        <f t="shared" si="221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 s="8">
        <f t="shared" si="217"/>
        <v>0</v>
      </c>
      <c r="Q2351" s="10" t="s">
        <v>8317</v>
      </c>
      <c r="R2351" s="10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29</v>
      </c>
      <c r="V2351">
        <f t="shared" si="221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 s="8">
        <f t="shared" si="217"/>
        <v>0</v>
      </c>
      <c r="Q2352" s="10" t="s">
        <v>8317</v>
      </c>
      <c r="R2352" s="10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30</v>
      </c>
      <c r="V2352">
        <f t="shared" si="221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 s="8">
        <f t="shared" si="217"/>
        <v>15.43</v>
      </c>
      <c r="Q2353" s="10" t="s">
        <v>8317</v>
      </c>
      <c r="R2353" s="10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30</v>
      </c>
      <c r="V2353">
        <f t="shared" si="221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 s="8">
        <f t="shared" si="217"/>
        <v>0</v>
      </c>
      <c r="Q2354" s="10" t="s">
        <v>8317</v>
      </c>
      <c r="R2354" s="10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60</v>
      </c>
      <c r="V2354">
        <f t="shared" si="221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 s="8">
        <f t="shared" si="217"/>
        <v>0</v>
      </c>
      <c r="Q2355" s="10" t="s">
        <v>8317</v>
      </c>
      <c r="R2355" s="10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12</v>
      </c>
      <c r="V2355">
        <f t="shared" si="221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 s="8">
        <f t="shared" si="217"/>
        <v>25</v>
      </c>
      <c r="Q2356" s="10" t="s">
        <v>8317</v>
      </c>
      <c r="R2356" s="10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60</v>
      </c>
      <c r="V2356">
        <f t="shared" si="221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 s="8">
        <f t="shared" si="217"/>
        <v>27.5</v>
      </c>
      <c r="Q2357" s="10" t="s">
        <v>8317</v>
      </c>
      <c r="R2357" s="10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30</v>
      </c>
      <c r="V2357">
        <f t="shared" si="221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 s="8">
        <f t="shared" si="217"/>
        <v>0</v>
      </c>
      <c r="Q2358" s="10" t="s">
        <v>8317</v>
      </c>
      <c r="R2358" s="10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30</v>
      </c>
      <c r="V2358">
        <f t="shared" si="221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 s="8">
        <f t="shared" si="217"/>
        <v>0</v>
      </c>
      <c r="Q2359" s="10" t="s">
        <v>8317</v>
      </c>
      <c r="R2359" s="10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30</v>
      </c>
      <c r="V2359">
        <f t="shared" si="221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 s="8">
        <f t="shared" si="217"/>
        <v>0</v>
      </c>
      <c r="Q2360" s="10" t="s">
        <v>8317</v>
      </c>
      <c r="R2360" s="1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56</v>
      </c>
      <c r="V2360">
        <f t="shared" si="221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 s="8">
        <f t="shared" si="217"/>
        <v>367</v>
      </c>
      <c r="Q2361" s="10" t="s">
        <v>8317</v>
      </c>
      <c r="R2361" s="10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60</v>
      </c>
      <c r="V2361">
        <f t="shared" si="221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 s="8">
        <f t="shared" si="217"/>
        <v>2</v>
      </c>
      <c r="Q2362" s="10" t="s">
        <v>8317</v>
      </c>
      <c r="R2362" s="10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30</v>
      </c>
      <c r="V2362">
        <f t="shared" si="221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 s="8">
        <f t="shared" si="217"/>
        <v>0</v>
      </c>
      <c r="Q2363" s="10" t="s">
        <v>8317</v>
      </c>
      <c r="R2363" s="10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24</v>
      </c>
      <c r="V2363">
        <f t="shared" si="221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 s="8">
        <f t="shared" si="217"/>
        <v>60</v>
      </c>
      <c r="Q2364" s="10" t="s">
        <v>8317</v>
      </c>
      <c r="R2364" s="10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30</v>
      </c>
      <c r="V2364">
        <f t="shared" si="221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 s="8">
        <f t="shared" si="217"/>
        <v>0</v>
      </c>
      <c r="Q2365" s="10" t="s">
        <v>8317</v>
      </c>
      <c r="R2365" s="10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45</v>
      </c>
      <c r="V2365">
        <f t="shared" si="221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 s="8">
        <f t="shared" si="217"/>
        <v>0</v>
      </c>
      <c r="Q2366" s="10" t="s">
        <v>8317</v>
      </c>
      <c r="R2366" s="10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55</v>
      </c>
      <c r="V2366">
        <f t="shared" si="221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 s="8">
        <f t="shared" si="217"/>
        <v>0</v>
      </c>
      <c r="Q2367" s="10" t="s">
        <v>8317</v>
      </c>
      <c r="R2367" s="10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40</v>
      </c>
      <c r="V2367">
        <f t="shared" si="221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 s="8">
        <f t="shared" si="217"/>
        <v>97.41</v>
      </c>
      <c r="Q2368" s="10" t="s">
        <v>8317</v>
      </c>
      <c r="R2368" s="10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30</v>
      </c>
      <c r="V2368">
        <f t="shared" si="221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 s="8">
        <f t="shared" si="217"/>
        <v>47.86</v>
      </c>
      <c r="Q2369" s="10" t="s">
        <v>8317</v>
      </c>
      <c r="R2369" s="10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60</v>
      </c>
      <c r="V2369">
        <f t="shared" si="221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ROUND((E2370/D2370)*100, 0)</f>
        <v>0</v>
      </c>
      <c r="P2370" s="8">
        <f t="shared" ref="P2370:P2433" si="223">IFERROR(ROUND(E2370/L2370, 2), 0)</f>
        <v>50</v>
      </c>
      <c r="Q2370" s="10" t="s">
        <v>8317</v>
      </c>
      <c r="R2370" s="10" t="s">
        <v>8318</v>
      </c>
      <c r="S2370" s="16">
        <f t="shared" ref="S2370:S2433" si="224">(J2370/60/60/24)+DATE(1970, 1, 1)</f>
        <v>42063.721817129626</v>
      </c>
      <c r="T2370" s="16">
        <f t="shared" ref="T2370:T2433" si="225">(I2370/60/60/24)+DATE(1970, 1, 1)</f>
        <v>42108.680150462969</v>
      </c>
      <c r="U2370">
        <f t="shared" si="220"/>
        <v>45</v>
      </c>
      <c r="V2370">
        <f t="shared" si="221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 s="8">
        <f t="shared" si="223"/>
        <v>0</v>
      </c>
      <c r="Q2371" s="10" t="s">
        <v>8317</v>
      </c>
      <c r="R2371" s="10" t="s">
        <v>8318</v>
      </c>
      <c r="S2371" s="16">
        <f t="shared" si="224"/>
        <v>42380.812627314815</v>
      </c>
      <c r="T2371" s="16">
        <f t="shared" si="225"/>
        <v>42410.812627314815</v>
      </c>
      <c r="U2371">
        <f t="shared" ref="U2371:U2434" si="226">ROUND(T2371-S2371, 0)</f>
        <v>30</v>
      </c>
      <c r="V2371">
        <f t="shared" ref="V2371:V2434" si="227">YEAR($S2371)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 s="8">
        <f t="shared" si="223"/>
        <v>20.5</v>
      </c>
      <c r="Q2372" s="10" t="s">
        <v>8317</v>
      </c>
      <c r="R2372" s="10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30</v>
      </c>
      <c r="V2372">
        <f t="shared" si="227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 s="8">
        <f t="shared" si="223"/>
        <v>0</v>
      </c>
      <c r="Q2373" s="10" t="s">
        <v>8317</v>
      </c>
      <c r="R2373" s="10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30</v>
      </c>
      <c r="V2373">
        <f t="shared" si="227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 s="8">
        <f t="shared" si="223"/>
        <v>30</v>
      </c>
      <c r="Q2374" s="10" t="s">
        <v>8317</v>
      </c>
      <c r="R2374" s="10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30</v>
      </c>
      <c r="V2374">
        <f t="shared" si="227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 s="8">
        <f t="shared" si="223"/>
        <v>50</v>
      </c>
      <c r="Q2375" s="10" t="s">
        <v>8317</v>
      </c>
      <c r="R2375" s="10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30</v>
      </c>
      <c r="V2375">
        <f t="shared" si="227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 s="8">
        <f t="shared" si="223"/>
        <v>10</v>
      </c>
      <c r="Q2376" s="10" t="s">
        <v>8317</v>
      </c>
      <c r="R2376" s="10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30</v>
      </c>
      <c r="V2376">
        <f t="shared" si="227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 s="8">
        <f t="shared" si="223"/>
        <v>0</v>
      </c>
      <c r="Q2377" s="10" t="s">
        <v>8317</v>
      </c>
      <c r="R2377" s="10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30</v>
      </c>
      <c r="V2377">
        <f t="shared" si="227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 s="8">
        <f t="shared" si="223"/>
        <v>81.58</v>
      </c>
      <c r="Q2378" s="10" t="s">
        <v>8317</v>
      </c>
      <c r="R2378" s="10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30</v>
      </c>
      <c r="V2378">
        <f t="shared" si="227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 s="8">
        <f t="shared" si="223"/>
        <v>0</v>
      </c>
      <c r="Q2379" s="10" t="s">
        <v>8317</v>
      </c>
      <c r="R2379" s="10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30</v>
      </c>
      <c r="V2379">
        <f t="shared" si="227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 s="8">
        <f t="shared" si="223"/>
        <v>0</v>
      </c>
      <c r="Q2380" s="10" t="s">
        <v>8317</v>
      </c>
      <c r="R2380" s="1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29</v>
      </c>
      <c r="V2380">
        <f t="shared" si="227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 s="8">
        <f t="shared" si="223"/>
        <v>0</v>
      </c>
      <c r="Q2381" s="10" t="s">
        <v>8317</v>
      </c>
      <c r="R2381" s="10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45</v>
      </c>
      <c r="V2381">
        <f t="shared" si="227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 s="8">
        <f t="shared" si="223"/>
        <v>18.329999999999998</v>
      </c>
      <c r="Q2382" s="10" t="s">
        <v>8317</v>
      </c>
      <c r="R2382" s="10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30</v>
      </c>
      <c r="V2382">
        <f t="shared" si="227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 s="8">
        <f t="shared" si="223"/>
        <v>224.43</v>
      </c>
      <c r="Q2383" s="10" t="s">
        <v>8317</v>
      </c>
      <c r="R2383" s="10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30</v>
      </c>
      <c r="V2383">
        <f t="shared" si="227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 s="8">
        <f t="shared" si="223"/>
        <v>37.5</v>
      </c>
      <c r="Q2384" s="10" t="s">
        <v>8317</v>
      </c>
      <c r="R2384" s="10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25</v>
      </c>
      <c r="V2384">
        <f t="shared" si="227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 s="8">
        <f t="shared" si="223"/>
        <v>145</v>
      </c>
      <c r="Q2385" s="10" t="s">
        <v>8317</v>
      </c>
      <c r="R2385" s="10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30</v>
      </c>
      <c r="V2385">
        <f t="shared" si="227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 s="8">
        <f t="shared" si="223"/>
        <v>1</v>
      </c>
      <c r="Q2386" s="10" t="s">
        <v>8317</v>
      </c>
      <c r="R2386" s="10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30</v>
      </c>
      <c r="V2386">
        <f t="shared" si="227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 s="8">
        <f t="shared" si="223"/>
        <v>112.57</v>
      </c>
      <c r="Q2387" s="10" t="s">
        <v>8317</v>
      </c>
      <c r="R2387" s="10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30</v>
      </c>
      <c r="V2387">
        <f t="shared" si="227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 s="8">
        <f t="shared" si="223"/>
        <v>0</v>
      </c>
      <c r="Q2388" s="10" t="s">
        <v>8317</v>
      </c>
      <c r="R2388" s="10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60</v>
      </c>
      <c r="V2388">
        <f t="shared" si="227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 s="8">
        <f t="shared" si="223"/>
        <v>342</v>
      </c>
      <c r="Q2389" s="10" t="s">
        <v>8317</v>
      </c>
      <c r="R2389" s="10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45</v>
      </c>
      <c r="V2389">
        <f t="shared" si="227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 s="8">
        <f t="shared" si="223"/>
        <v>57.88</v>
      </c>
      <c r="Q2390" s="10" t="s">
        <v>8317</v>
      </c>
      <c r="R2390" s="1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30</v>
      </c>
      <c r="V2390">
        <f t="shared" si="227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 s="8">
        <f t="shared" si="223"/>
        <v>30</v>
      </c>
      <c r="Q2391" s="10" t="s">
        <v>8317</v>
      </c>
      <c r="R2391" s="10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31</v>
      </c>
      <c r="V2391">
        <f t="shared" si="227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 s="8">
        <f t="shared" si="223"/>
        <v>0</v>
      </c>
      <c r="Q2392" s="10" t="s">
        <v>8317</v>
      </c>
      <c r="R2392" s="10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40</v>
      </c>
      <c r="V2392">
        <f t="shared" si="227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 s="8">
        <f t="shared" si="223"/>
        <v>25</v>
      </c>
      <c r="Q2393" s="10" t="s">
        <v>8317</v>
      </c>
      <c r="R2393" s="10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30</v>
      </c>
      <c r="V2393">
        <f t="shared" si="227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 s="8">
        <f t="shared" si="223"/>
        <v>0</v>
      </c>
      <c r="Q2394" s="10" t="s">
        <v>8317</v>
      </c>
      <c r="R2394" s="10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30</v>
      </c>
      <c r="V2394">
        <f t="shared" si="227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 s="8">
        <f t="shared" si="223"/>
        <v>50</v>
      </c>
      <c r="Q2395" s="10" t="s">
        <v>8317</v>
      </c>
      <c r="R2395" s="10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30</v>
      </c>
      <c r="V2395">
        <f t="shared" si="227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 s="8">
        <f t="shared" si="223"/>
        <v>1.5</v>
      </c>
      <c r="Q2396" s="10" t="s">
        <v>8317</v>
      </c>
      <c r="R2396" s="10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30</v>
      </c>
      <c r="V2396">
        <f t="shared" si="227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 s="8">
        <f t="shared" si="223"/>
        <v>0</v>
      </c>
      <c r="Q2397" s="10" t="s">
        <v>8317</v>
      </c>
      <c r="R2397" s="10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28</v>
      </c>
      <c r="V2397">
        <f t="shared" si="227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 s="8">
        <f t="shared" si="223"/>
        <v>10</v>
      </c>
      <c r="Q2398" s="10" t="s">
        <v>8317</v>
      </c>
      <c r="R2398" s="10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30</v>
      </c>
      <c r="V2398">
        <f t="shared" si="227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 s="8">
        <f t="shared" si="223"/>
        <v>0</v>
      </c>
      <c r="Q2399" s="10" t="s">
        <v>8317</v>
      </c>
      <c r="R2399" s="10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30</v>
      </c>
      <c r="V2399">
        <f t="shared" si="227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 s="8">
        <f t="shared" si="223"/>
        <v>0</v>
      </c>
      <c r="Q2400" s="10" t="s">
        <v>8317</v>
      </c>
      <c r="R2400" s="1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30</v>
      </c>
      <c r="V2400">
        <f t="shared" si="227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 s="8">
        <f t="shared" si="223"/>
        <v>0</v>
      </c>
      <c r="Q2401" s="10" t="s">
        <v>8317</v>
      </c>
      <c r="R2401" s="10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35</v>
      </c>
      <c r="V2401">
        <f t="shared" si="227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 s="8">
        <f t="shared" si="223"/>
        <v>0</v>
      </c>
      <c r="Q2402" s="10" t="s">
        <v>8317</v>
      </c>
      <c r="R2402" s="10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30</v>
      </c>
      <c r="V2402">
        <f t="shared" si="227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 s="8">
        <f t="shared" si="223"/>
        <v>22.33</v>
      </c>
      <c r="Q2403" s="10" t="s">
        <v>8334</v>
      </c>
      <c r="R2403" s="10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60</v>
      </c>
      <c r="V2403">
        <f t="shared" si="227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 s="8">
        <f t="shared" si="223"/>
        <v>52</v>
      </c>
      <c r="Q2404" s="10" t="s">
        <v>8334</v>
      </c>
      <c r="R2404" s="10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30</v>
      </c>
      <c r="V2404">
        <f t="shared" si="227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 s="8">
        <f t="shared" si="223"/>
        <v>16.829999999999998</v>
      </c>
      <c r="Q2405" s="10" t="s">
        <v>8334</v>
      </c>
      <c r="R2405" s="10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60</v>
      </c>
      <c r="V2405">
        <f t="shared" si="227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 s="8">
        <f t="shared" si="223"/>
        <v>0</v>
      </c>
      <c r="Q2406" s="10" t="s">
        <v>8334</v>
      </c>
      <c r="R2406" s="10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30</v>
      </c>
      <c r="V2406">
        <f t="shared" si="227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 s="8">
        <f t="shared" si="223"/>
        <v>56.3</v>
      </c>
      <c r="Q2407" s="10" t="s">
        <v>8334</v>
      </c>
      <c r="R2407" s="10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21</v>
      </c>
      <c r="V2407">
        <f t="shared" si="227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 s="8">
        <f t="shared" si="223"/>
        <v>84.06</v>
      </c>
      <c r="Q2408" s="10" t="s">
        <v>8334</v>
      </c>
      <c r="R2408" s="10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40</v>
      </c>
      <c r="V2408">
        <f t="shared" si="227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 s="8">
        <f t="shared" si="223"/>
        <v>168.39</v>
      </c>
      <c r="Q2409" s="10" t="s">
        <v>8334</v>
      </c>
      <c r="R2409" s="10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23</v>
      </c>
      <c r="V2409">
        <f t="shared" si="227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 s="8">
        <f t="shared" si="223"/>
        <v>15</v>
      </c>
      <c r="Q2410" s="10" t="s">
        <v>8334</v>
      </c>
      <c r="R2410" s="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30</v>
      </c>
      <c r="V2410">
        <f t="shared" si="227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 s="8">
        <f t="shared" si="223"/>
        <v>76.67</v>
      </c>
      <c r="Q2411" s="10" t="s">
        <v>8334</v>
      </c>
      <c r="R2411" s="10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30</v>
      </c>
      <c r="V2411">
        <f t="shared" si="227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 s="8">
        <f t="shared" si="223"/>
        <v>0</v>
      </c>
      <c r="Q2412" s="10" t="s">
        <v>8334</v>
      </c>
      <c r="R2412" s="10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30</v>
      </c>
      <c r="V2412">
        <f t="shared" si="227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 s="8">
        <f t="shared" si="223"/>
        <v>50.33</v>
      </c>
      <c r="Q2413" s="10" t="s">
        <v>8334</v>
      </c>
      <c r="R2413" s="10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30</v>
      </c>
      <c r="V2413">
        <f t="shared" si="227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 s="8">
        <f t="shared" si="223"/>
        <v>0</v>
      </c>
      <c r="Q2414" s="10" t="s">
        <v>8334</v>
      </c>
      <c r="R2414" s="10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45</v>
      </c>
      <c r="V2414">
        <f t="shared" si="227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 s="8">
        <f t="shared" si="223"/>
        <v>8.33</v>
      </c>
      <c r="Q2415" s="10" t="s">
        <v>8334</v>
      </c>
      <c r="R2415" s="10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31</v>
      </c>
      <c r="V2415">
        <f t="shared" si="227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 s="8">
        <f t="shared" si="223"/>
        <v>35.380000000000003</v>
      </c>
      <c r="Q2416" s="10" t="s">
        <v>8334</v>
      </c>
      <c r="R2416" s="10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39</v>
      </c>
      <c r="V2416">
        <f t="shared" si="227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 s="8">
        <f t="shared" si="223"/>
        <v>55.83</v>
      </c>
      <c r="Q2417" s="10" t="s">
        <v>8334</v>
      </c>
      <c r="R2417" s="10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30</v>
      </c>
      <c r="V2417">
        <f t="shared" si="227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 s="8">
        <f t="shared" si="223"/>
        <v>5</v>
      </c>
      <c r="Q2418" s="10" t="s">
        <v>8334</v>
      </c>
      <c r="R2418" s="10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58</v>
      </c>
      <c r="V2418">
        <f t="shared" si="227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 s="8">
        <f t="shared" si="223"/>
        <v>0</v>
      </c>
      <c r="Q2419" s="10" t="s">
        <v>8334</v>
      </c>
      <c r="R2419" s="10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30</v>
      </c>
      <c r="V2419">
        <f t="shared" si="227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 s="8">
        <f t="shared" si="223"/>
        <v>1</v>
      </c>
      <c r="Q2420" s="10" t="s">
        <v>8334</v>
      </c>
      <c r="R2420" s="1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60</v>
      </c>
      <c r="V2420">
        <f t="shared" si="227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 s="8">
        <f t="shared" si="223"/>
        <v>0</v>
      </c>
      <c r="Q2421" s="10" t="s">
        <v>8334</v>
      </c>
      <c r="R2421" s="10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60</v>
      </c>
      <c r="V2421">
        <f t="shared" si="227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 s="8">
        <f t="shared" si="223"/>
        <v>69.47</v>
      </c>
      <c r="Q2422" s="10" t="s">
        <v>8334</v>
      </c>
      <c r="R2422" s="10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60</v>
      </c>
      <c r="V2422">
        <f t="shared" si="227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 s="8">
        <f t="shared" si="223"/>
        <v>1</v>
      </c>
      <c r="Q2423" s="10" t="s">
        <v>8334</v>
      </c>
      <c r="R2423" s="10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30</v>
      </c>
      <c r="V2423">
        <f t="shared" si="227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 s="8">
        <f t="shared" si="223"/>
        <v>1</v>
      </c>
      <c r="Q2424" s="10" t="s">
        <v>8334</v>
      </c>
      <c r="R2424" s="10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30</v>
      </c>
      <c r="V2424">
        <f t="shared" si="227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 s="8">
        <f t="shared" si="223"/>
        <v>8</v>
      </c>
      <c r="Q2425" s="10" t="s">
        <v>8334</v>
      </c>
      <c r="R2425" s="10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30</v>
      </c>
      <c r="V2425">
        <f t="shared" si="227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 s="8">
        <f t="shared" si="223"/>
        <v>34.44</v>
      </c>
      <c r="Q2426" s="10" t="s">
        <v>8334</v>
      </c>
      <c r="R2426" s="10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30</v>
      </c>
      <c r="V2426">
        <f t="shared" si="227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 s="8">
        <f t="shared" si="223"/>
        <v>1</v>
      </c>
      <c r="Q2427" s="10" t="s">
        <v>8334</v>
      </c>
      <c r="R2427" s="10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15</v>
      </c>
      <c r="V2427">
        <f t="shared" si="227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 s="8">
        <f t="shared" si="223"/>
        <v>0</v>
      </c>
      <c r="Q2428" s="10" t="s">
        <v>8334</v>
      </c>
      <c r="R2428" s="10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60</v>
      </c>
      <c r="V2428">
        <f t="shared" si="227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 s="8">
        <f t="shared" si="223"/>
        <v>1</v>
      </c>
      <c r="Q2429" s="10" t="s">
        <v>8334</v>
      </c>
      <c r="R2429" s="10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40</v>
      </c>
      <c r="V2429">
        <f t="shared" si="227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 s="8">
        <f t="shared" si="223"/>
        <v>1</v>
      </c>
      <c r="Q2430" s="10" t="s">
        <v>8334</v>
      </c>
      <c r="R2430" s="1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30</v>
      </c>
      <c r="V2430">
        <f t="shared" si="227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 s="8">
        <f t="shared" si="223"/>
        <v>501.25</v>
      </c>
      <c r="Q2431" s="10" t="s">
        <v>8334</v>
      </c>
      <c r="R2431" s="10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37</v>
      </c>
      <c r="V2431">
        <f t="shared" si="227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 s="8">
        <f t="shared" si="223"/>
        <v>10.5</v>
      </c>
      <c r="Q2432" s="10" t="s">
        <v>8334</v>
      </c>
      <c r="R2432" s="10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30</v>
      </c>
      <c r="V2432">
        <f t="shared" si="227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 s="8">
        <f t="shared" si="223"/>
        <v>1</v>
      </c>
      <c r="Q2433" s="10" t="s">
        <v>8334</v>
      </c>
      <c r="R2433" s="10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60</v>
      </c>
      <c r="V2433">
        <f t="shared" si="227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ROUND((E2434/D2434)*100, 0)</f>
        <v>0</v>
      </c>
      <c r="P2434" s="8">
        <f t="shared" ref="P2434:P2497" si="229">IFERROR(ROUND(E2434/L2434, 2), 0)</f>
        <v>1</v>
      </c>
      <c r="Q2434" s="10" t="s">
        <v>8334</v>
      </c>
      <c r="R2434" s="10" t="s">
        <v>8335</v>
      </c>
      <c r="S2434" s="16">
        <f t="shared" ref="S2434:S2497" si="230">(J2434/60/60/24)+DATE(1970, 1, 1)</f>
        <v>42041.218715277777</v>
      </c>
      <c r="T2434" s="16">
        <f t="shared" ref="T2434:T2497" si="231">(I2434/60/60/24)+DATE(1970, 1, 1)</f>
        <v>42071.218715277777</v>
      </c>
      <c r="U2434">
        <f t="shared" si="226"/>
        <v>30</v>
      </c>
      <c r="V2434">
        <f t="shared" si="227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 s="8">
        <f t="shared" si="229"/>
        <v>0</v>
      </c>
      <c r="Q2435" s="10" t="s">
        <v>8334</v>
      </c>
      <c r="R2435" s="10" t="s">
        <v>8335</v>
      </c>
      <c r="S2435" s="16">
        <f t="shared" si="230"/>
        <v>42397.89980324074</v>
      </c>
      <c r="T2435" s="16">
        <f t="shared" si="231"/>
        <v>42427.89980324074</v>
      </c>
      <c r="U2435">
        <f t="shared" ref="U2435:U2498" si="232">ROUND(T2435-S2435, 0)</f>
        <v>30</v>
      </c>
      <c r="V2435">
        <f t="shared" ref="V2435:V2498" si="233">YEAR($S2435)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 s="8">
        <f t="shared" si="229"/>
        <v>13</v>
      </c>
      <c r="Q2436" s="10" t="s">
        <v>8334</v>
      </c>
      <c r="R2436" s="10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40</v>
      </c>
      <c r="V2436">
        <f t="shared" si="233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 s="8">
        <f t="shared" si="229"/>
        <v>306</v>
      </c>
      <c r="Q2437" s="10" t="s">
        <v>8334</v>
      </c>
      <c r="R2437" s="10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30</v>
      </c>
      <c r="V2437">
        <f t="shared" si="233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 s="8">
        <f t="shared" si="229"/>
        <v>22.5</v>
      </c>
      <c r="Q2438" s="10" t="s">
        <v>8334</v>
      </c>
      <c r="R2438" s="10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60</v>
      </c>
      <c r="V2438">
        <f t="shared" si="233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 s="8">
        <f t="shared" si="229"/>
        <v>0</v>
      </c>
      <c r="Q2439" s="10" t="s">
        <v>8334</v>
      </c>
      <c r="R2439" s="10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49</v>
      </c>
      <c r="V2439">
        <f t="shared" si="233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 s="8">
        <f t="shared" si="229"/>
        <v>50</v>
      </c>
      <c r="Q2440" s="10" t="s">
        <v>8334</v>
      </c>
      <c r="R2440" s="1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60</v>
      </c>
      <c r="V2440">
        <f t="shared" si="233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 s="8">
        <f t="shared" si="229"/>
        <v>0</v>
      </c>
      <c r="Q2441" s="10" t="s">
        <v>8334</v>
      </c>
      <c r="R2441" s="10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30</v>
      </c>
      <c r="V2441">
        <f t="shared" si="233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 s="8">
        <f t="shared" si="229"/>
        <v>5</v>
      </c>
      <c r="Q2442" s="10" t="s">
        <v>8334</v>
      </c>
      <c r="R2442" s="10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30</v>
      </c>
      <c r="V2442">
        <f t="shared" si="233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 s="8">
        <f t="shared" si="229"/>
        <v>74.23</v>
      </c>
      <c r="Q2443" s="10" t="s">
        <v>8334</v>
      </c>
      <c r="R2443" s="10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21</v>
      </c>
      <c r="V2443">
        <f t="shared" si="233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 s="8">
        <f t="shared" si="229"/>
        <v>81.25</v>
      </c>
      <c r="Q2444" s="10" t="s">
        <v>8334</v>
      </c>
      <c r="R2444" s="10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30</v>
      </c>
      <c r="V2444">
        <f t="shared" si="233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 s="8">
        <f t="shared" si="229"/>
        <v>130.22999999999999</v>
      </c>
      <c r="Q2445" s="10" t="s">
        <v>8334</v>
      </c>
      <c r="R2445" s="10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30</v>
      </c>
      <c r="V2445">
        <f t="shared" si="233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 s="8">
        <f t="shared" si="229"/>
        <v>53.41</v>
      </c>
      <c r="Q2446" s="10" t="s">
        <v>8334</v>
      </c>
      <c r="R2446" s="10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30</v>
      </c>
      <c r="V2446">
        <f t="shared" si="233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 s="8">
        <f t="shared" si="229"/>
        <v>75.13</v>
      </c>
      <c r="Q2447" s="10" t="s">
        <v>8334</v>
      </c>
      <c r="R2447" s="10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30</v>
      </c>
      <c r="V2447">
        <f t="shared" si="233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 s="8">
        <f t="shared" si="229"/>
        <v>75.67</v>
      </c>
      <c r="Q2448" s="10" t="s">
        <v>8334</v>
      </c>
      <c r="R2448" s="10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30</v>
      </c>
      <c r="V2448">
        <f t="shared" si="233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 s="8">
        <f t="shared" si="229"/>
        <v>31.69</v>
      </c>
      <c r="Q2449" s="10" t="s">
        <v>8334</v>
      </c>
      <c r="R2449" s="10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32</v>
      </c>
      <c r="V2449">
        <f t="shared" si="233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 s="8">
        <f t="shared" si="229"/>
        <v>47.78</v>
      </c>
      <c r="Q2450" s="10" t="s">
        <v>8334</v>
      </c>
      <c r="R2450" s="1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6</v>
      </c>
      <c r="V2450">
        <f t="shared" si="233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 s="8">
        <f t="shared" si="229"/>
        <v>90</v>
      </c>
      <c r="Q2451" s="10" t="s">
        <v>8334</v>
      </c>
      <c r="R2451" s="10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30</v>
      </c>
      <c r="V2451">
        <f t="shared" si="233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 s="8">
        <f t="shared" si="229"/>
        <v>149.31</v>
      </c>
      <c r="Q2452" s="10" t="s">
        <v>8334</v>
      </c>
      <c r="R2452" s="10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38</v>
      </c>
      <c r="V2452">
        <f t="shared" si="233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 s="8">
        <f t="shared" si="229"/>
        <v>62.07</v>
      </c>
      <c r="Q2453" s="10" t="s">
        <v>8334</v>
      </c>
      <c r="R2453" s="10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</v>
      </c>
      <c r="V2453">
        <f t="shared" si="233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 s="8">
        <f t="shared" si="229"/>
        <v>53.4</v>
      </c>
      <c r="Q2454" s="10" t="s">
        <v>8334</v>
      </c>
      <c r="R2454" s="10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29</v>
      </c>
      <c r="V2454">
        <f t="shared" si="233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 s="8">
        <f t="shared" si="229"/>
        <v>69.27</v>
      </c>
      <c r="Q2455" s="10" t="s">
        <v>8334</v>
      </c>
      <c r="R2455" s="10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30</v>
      </c>
      <c r="V2455">
        <f t="shared" si="233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 s="8">
        <f t="shared" si="229"/>
        <v>271.51</v>
      </c>
      <c r="Q2456" s="10" t="s">
        <v>8334</v>
      </c>
      <c r="R2456" s="10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35</v>
      </c>
      <c r="V2456">
        <f t="shared" si="233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 s="8">
        <f t="shared" si="229"/>
        <v>34.130000000000003</v>
      </c>
      <c r="Q2457" s="10" t="s">
        <v>8334</v>
      </c>
      <c r="R2457" s="10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28</v>
      </c>
      <c r="V2457">
        <f t="shared" si="233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 s="8">
        <f t="shared" si="229"/>
        <v>40.49</v>
      </c>
      <c r="Q2458" s="10" t="s">
        <v>8334</v>
      </c>
      <c r="R2458" s="10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30</v>
      </c>
      <c r="V2458">
        <f t="shared" si="233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 s="8">
        <f t="shared" si="229"/>
        <v>189.76</v>
      </c>
      <c r="Q2459" s="10" t="s">
        <v>8334</v>
      </c>
      <c r="R2459" s="10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30</v>
      </c>
      <c r="V2459">
        <f t="shared" si="233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 s="8">
        <f t="shared" si="229"/>
        <v>68.86</v>
      </c>
      <c r="Q2460" s="10" t="s">
        <v>8334</v>
      </c>
      <c r="R2460" s="1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35</v>
      </c>
      <c r="V2460">
        <f t="shared" si="233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 s="8">
        <f t="shared" si="229"/>
        <v>108.78</v>
      </c>
      <c r="Q2461" s="10" t="s">
        <v>8334</v>
      </c>
      <c r="R2461" s="10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45</v>
      </c>
      <c r="V2461">
        <f t="shared" si="233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 s="8">
        <f t="shared" si="229"/>
        <v>125.99</v>
      </c>
      <c r="Q2462" s="10" t="s">
        <v>8334</v>
      </c>
      <c r="R2462" s="10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34</v>
      </c>
      <c r="V2462">
        <f t="shared" si="233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 s="8">
        <f t="shared" si="229"/>
        <v>90.52</v>
      </c>
      <c r="Q2463" s="10" t="s">
        <v>8323</v>
      </c>
      <c r="R2463" s="10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33</v>
      </c>
      <c r="V2463">
        <f t="shared" si="233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 s="8">
        <f t="shared" si="229"/>
        <v>28.88</v>
      </c>
      <c r="Q2464" s="10" t="s">
        <v>8323</v>
      </c>
      <c r="R2464" s="10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</v>
      </c>
      <c r="V2464">
        <f t="shared" si="233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 s="8">
        <f t="shared" si="229"/>
        <v>31</v>
      </c>
      <c r="Q2465" s="10" t="s">
        <v>8323</v>
      </c>
      <c r="R2465" s="10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40</v>
      </c>
      <c r="V2465">
        <f t="shared" si="233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 s="8">
        <f t="shared" si="229"/>
        <v>51.67</v>
      </c>
      <c r="Q2466" s="10" t="s">
        <v>8323</v>
      </c>
      <c r="R2466" s="10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29</v>
      </c>
      <c r="V2466">
        <f t="shared" si="233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 s="8">
        <f t="shared" si="229"/>
        <v>26.27</v>
      </c>
      <c r="Q2467" s="10" t="s">
        <v>8323</v>
      </c>
      <c r="R2467" s="10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30</v>
      </c>
      <c r="V2467">
        <f t="shared" si="233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 s="8">
        <f t="shared" si="229"/>
        <v>48.08</v>
      </c>
      <c r="Q2468" s="10" t="s">
        <v>8323</v>
      </c>
      <c r="R2468" s="10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30</v>
      </c>
      <c r="V2468">
        <f t="shared" si="233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 s="8">
        <f t="shared" si="229"/>
        <v>27.56</v>
      </c>
      <c r="Q2469" s="10" t="s">
        <v>8323</v>
      </c>
      <c r="R2469" s="10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14</v>
      </c>
      <c r="V2469">
        <f t="shared" si="233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 s="8">
        <f t="shared" si="229"/>
        <v>36.97</v>
      </c>
      <c r="Q2470" s="10" t="s">
        <v>8323</v>
      </c>
      <c r="R2470" s="1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36</v>
      </c>
      <c r="V2470">
        <f t="shared" si="233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 s="8">
        <f t="shared" si="229"/>
        <v>29.02</v>
      </c>
      <c r="Q2471" s="10" t="s">
        <v>8323</v>
      </c>
      <c r="R2471" s="10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25</v>
      </c>
      <c r="V2471">
        <f t="shared" si="233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 s="8">
        <f t="shared" si="229"/>
        <v>28.66</v>
      </c>
      <c r="Q2472" s="10" t="s">
        <v>8323</v>
      </c>
      <c r="R2472" s="10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30</v>
      </c>
      <c r="V2472">
        <f t="shared" si="233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 s="8">
        <f t="shared" si="229"/>
        <v>37.65</v>
      </c>
      <c r="Q2473" s="10" t="s">
        <v>8323</v>
      </c>
      <c r="R2473" s="10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40</v>
      </c>
      <c r="V2473">
        <f t="shared" si="233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 s="8">
        <f t="shared" si="229"/>
        <v>97.9</v>
      </c>
      <c r="Q2474" s="10" t="s">
        <v>8323</v>
      </c>
      <c r="R2474" s="10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71</v>
      </c>
      <c r="V2474">
        <f t="shared" si="233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 s="8">
        <f t="shared" si="229"/>
        <v>42.55</v>
      </c>
      <c r="Q2475" s="10" t="s">
        <v>8323</v>
      </c>
      <c r="R2475" s="10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30</v>
      </c>
      <c r="V2475">
        <f t="shared" si="233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 s="8">
        <f t="shared" si="229"/>
        <v>131.58000000000001</v>
      </c>
      <c r="Q2476" s="10" t="s">
        <v>8323</v>
      </c>
      <c r="R2476" s="10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45</v>
      </c>
      <c r="V2476">
        <f t="shared" si="233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 s="8">
        <f t="shared" si="229"/>
        <v>32.32</v>
      </c>
      <c r="Q2477" s="10" t="s">
        <v>8323</v>
      </c>
      <c r="R2477" s="10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60</v>
      </c>
      <c r="V2477">
        <f t="shared" si="233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 s="8">
        <f t="shared" si="229"/>
        <v>61.1</v>
      </c>
      <c r="Q2478" s="10" t="s">
        <v>8323</v>
      </c>
      <c r="R2478" s="10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33</v>
      </c>
      <c r="V2478">
        <f t="shared" si="233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 s="8">
        <f t="shared" si="229"/>
        <v>31.34</v>
      </c>
      <c r="Q2479" s="10" t="s">
        <v>8323</v>
      </c>
      <c r="R2479" s="10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45</v>
      </c>
      <c r="V2479">
        <f t="shared" si="233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 s="8">
        <f t="shared" si="229"/>
        <v>129.11000000000001</v>
      </c>
      <c r="Q2480" s="10" t="s">
        <v>8323</v>
      </c>
      <c r="R2480" s="1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30</v>
      </c>
      <c r="V2480">
        <f t="shared" si="233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 s="8">
        <f t="shared" si="229"/>
        <v>25.02</v>
      </c>
      <c r="Q2481" s="10" t="s">
        <v>8323</v>
      </c>
      <c r="R2481" s="10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10</v>
      </c>
      <c r="V2481">
        <f t="shared" si="233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 s="8">
        <f t="shared" si="229"/>
        <v>250</v>
      </c>
      <c r="Q2482" s="10" t="s">
        <v>8323</v>
      </c>
      <c r="R2482" s="10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60</v>
      </c>
      <c r="V2482">
        <f t="shared" si="233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 s="8">
        <f t="shared" si="229"/>
        <v>47.54</v>
      </c>
      <c r="Q2483" s="10" t="s">
        <v>8323</v>
      </c>
      <c r="R2483" s="10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30</v>
      </c>
      <c r="V2483">
        <f t="shared" si="233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 s="8">
        <f t="shared" si="229"/>
        <v>40.04</v>
      </c>
      <c r="Q2484" s="10" t="s">
        <v>8323</v>
      </c>
      <c r="R2484" s="10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45</v>
      </c>
      <c r="V2484">
        <f t="shared" si="233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 s="8">
        <f t="shared" si="229"/>
        <v>65.84</v>
      </c>
      <c r="Q2485" s="10" t="s">
        <v>8323</v>
      </c>
      <c r="R2485" s="10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60</v>
      </c>
      <c r="V2485">
        <f t="shared" si="233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 s="8">
        <f t="shared" si="229"/>
        <v>46.4</v>
      </c>
      <c r="Q2486" s="10" t="s">
        <v>8323</v>
      </c>
      <c r="R2486" s="10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30</v>
      </c>
      <c r="V2486">
        <f t="shared" si="233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 s="8">
        <f t="shared" si="229"/>
        <v>50.37</v>
      </c>
      <c r="Q2487" s="10" t="s">
        <v>8323</v>
      </c>
      <c r="R2487" s="10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35</v>
      </c>
      <c r="V2487">
        <f t="shared" si="233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 s="8">
        <f t="shared" si="229"/>
        <v>26.57</v>
      </c>
      <c r="Q2488" s="10" t="s">
        <v>8323</v>
      </c>
      <c r="R2488" s="10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30</v>
      </c>
      <c r="V2488">
        <f t="shared" si="233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 s="8">
        <f t="shared" si="229"/>
        <v>39.49</v>
      </c>
      <c r="Q2489" s="10" t="s">
        <v>8323</v>
      </c>
      <c r="R2489" s="10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30</v>
      </c>
      <c r="V2489">
        <f t="shared" si="233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 s="8">
        <f t="shared" si="229"/>
        <v>49.25</v>
      </c>
      <c r="Q2490" s="10" t="s">
        <v>8323</v>
      </c>
      <c r="R2490" s="1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30</v>
      </c>
      <c r="V2490">
        <f t="shared" si="233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 s="8">
        <f t="shared" si="229"/>
        <v>62.38</v>
      </c>
      <c r="Q2491" s="10" t="s">
        <v>8323</v>
      </c>
      <c r="R2491" s="10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30</v>
      </c>
      <c r="V2491">
        <f t="shared" si="233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 s="8">
        <f t="shared" si="229"/>
        <v>37.94</v>
      </c>
      <c r="Q2492" s="10" t="s">
        <v>8323</v>
      </c>
      <c r="R2492" s="10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60</v>
      </c>
      <c r="V2492">
        <f t="shared" si="233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 s="8">
        <f t="shared" si="229"/>
        <v>51.6</v>
      </c>
      <c r="Q2493" s="10" t="s">
        <v>8323</v>
      </c>
      <c r="R2493" s="10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16</v>
      </c>
      <c r="V2493">
        <f t="shared" si="233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 s="8">
        <f t="shared" si="229"/>
        <v>27.78</v>
      </c>
      <c r="Q2494" s="10" t="s">
        <v>8323</v>
      </c>
      <c r="R2494" s="10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51</v>
      </c>
      <c r="V2494">
        <f t="shared" si="233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 s="8">
        <f t="shared" si="229"/>
        <v>99.38</v>
      </c>
      <c r="Q2495" s="10" t="s">
        <v>8323</v>
      </c>
      <c r="R2495" s="10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45</v>
      </c>
      <c r="V2495">
        <f t="shared" si="233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 s="8">
        <f t="shared" si="229"/>
        <v>38.85</v>
      </c>
      <c r="Q2496" s="10" t="s">
        <v>8323</v>
      </c>
      <c r="R2496" s="10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30</v>
      </c>
      <c r="V2496">
        <f t="shared" si="233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 s="8">
        <f t="shared" si="229"/>
        <v>45.55</v>
      </c>
      <c r="Q2497" s="10" t="s">
        <v>8323</v>
      </c>
      <c r="R2497" s="10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30</v>
      </c>
      <c r="V2497">
        <f t="shared" si="233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ROUND((E2498/D2498)*100, 0)</f>
        <v>100</v>
      </c>
      <c r="P2498" s="8">
        <f t="shared" ref="P2498:P2561" si="235">IFERROR(ROUND(E2498/L2498, 2), 0)</f>
        <v>600</v>
      </c>
      <c r="Q2498" s="10" t="s">
        <v>8323</v>
      </c>
      <c r="R2498" s="10" t="s">
        <v>8327</v>
      </c>
      <c r="S2498" s="16">
        <f t="shared" ref="S2498:S2561" si="236">(J2498/60/60/24)+DATE(1970, 1, 1)</f>
        <v>41327.996435185189</v>
      </c>
      <c r="T2498" s="16">
        <f t="shared" ref="T2498:T2561" si="237">(I2498/60/60/24)+DATE(1970, 1, 1)</f>
        <v>41362.954768518517</v>
      </c>
      <c r="U2498">
        <f t="shared" si="232"/>
        <v>35</v>
      </c>
      <c r="V2498">
        <f t="shared" si="233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 s="8">
        <f t="shared" si="235"/>
        <v>80.55</v>
      </c>
      <c r="Q2499" s="10" t="s">
        <v>8323</v>
      </c>
      <c r="R2499" s="10" t="s">
        <v>8327</v>
      </c>
      <c r="S2499" s="16">
        <f t="shared" si="236"/>
        <v>40730.878912037035</v>
      </c>
      <c r="T2499" s="16">
        <f t="shared" si="237"/>
        <v>40760.878912037035</v>
      </c>
      <c r="U2499">
        <f t="shared" ref="U2499:U2562" si="238">ROUND(T2499-S2499, 0)</f>
        <v>30</v>
      </c>
      <c r="V2499">
        <f t="shared" ref="V2499:V2562" si="239">YEAR($S2499)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 s="8">
        <f t="shared" si="235"/>
        <v>52.8</v>
      </c>
      <c r="Q2500" s="10" t="s">
        <v>8323</v>
      </c>
      <c r="R2500" s="1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14</v>
      </c>
      <c r="V2500">
        <f t="shared" si="23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 s="8">
        <f t="shared" si="235"/>
        <v>47.68</v>
      </c>
      <c r="Q2501" s="10" t="s">
        <v>8323</v>
      </c>
      <c r="R2501" s="10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48</v>
      </c>
      <c r="V2501">
        <f t="shared" si="23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 s="8">
        <f t="shared" si="235"/>
        <v>23.45</v>
      </c>
      <c r="Q2502" s="10" t="s">
        <v>8323</v>
      </c>
      <c r="R2502" s="10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30</v>
      </c>
      <c r="V2502">
        <f t="shared" si="23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 s="8">
        <f t="shared" si="235"/>
        <v>40.14</v>
      </c>
      <c r="Q2503" s="10" t="s">
        <v>8334</v>
      </c>
      <c r="R2503" s="10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30</v>
      </c>
      <c r="V2503">
        <f t="shared" si="23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 s="8">
        <f t="shared" si="235"/>
        <v>17.2</v>
      </c>
      <c r="Q2504" s="10" t="s">
        <v>8334</v>
      </c>
      <c r="R2504" s="10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45</v>
      </c>
      <c r="V2504">
        <f t="shared" si="23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 s="8">
        <f t="shared" si="235"/>
        <v>0</v>
      </c>
      <c r="Q2505" s="10" t="s">
        <v>8334</v>
      </c>
      <c r="R2505" s="10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30</v>
      </c>
      <c r="V2505">
        <f t="shared" si="23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 s="8">
        <f t="shared" si="235"/>
        <v>0</v>
      </c>
      <c r="Q2506" s="10" t="s">
        <v>8334</v>
      </c>
      <c r="R2506" s="10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30</v>
      </c>
      <c r="V2506">
        <f t="shared" si="23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 s="8">
        <f t="shared" si="235"/>
        <v>0</v>
      </c>
      <c r="Q2507" s="10" t="s">
        <v>8334</v>
      </c>
      <c r="R2507" s="10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30</v>
      </c>
      <c r="V2507">
        <f t="shared" si="23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 s="8">
        <f t="shared" si="235"/>
        <v>15</v>
      </c>
      <c r="Q2508" s="10" t="s">
        <v>8334</v>
      </c>
      <c r="R2508" s="10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23</v>
      </c>
      <c r="V2508">
        <f t="shared" si="23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 s="8">
        <f t="shared" si="235"/>
        <v>0</v>
      </c>
      <c r="Q2509" s="10" t="s">
        <v>8334</v>
      </c>
      <c r="R2509" s="10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30</v>
      </c>
      <c r="V2509">
        <f t="shared" si="23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 s="8">
        <f t="shared" si="235"/>
        <v>0</v>
      </c>
      <c r="Q2510" s="10" t="s">
        <v>8334</v>
      </c>
      <c r="R2510" s="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30</v>
      </c>
      <c r="V2510">
        <f t="shared" si="23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 s="8">
        <f t="shared" si="235"/>
        <v>35.71</v>
      </c>
      <c r="Q2511" s="10" t="s">
        <v>8334</v>
      </c>
      <c r="R2511" s="10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56</v>
      </c>
      <c r="V2511">
        <f t="shared" si="23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 s="8">
        <f t="shared" si="235"/>
        <v>37.5</v>
      </c>
      <c r="Q2512" s="10" t="s">
        <v>8334</v>
      </c>
      <c r="R2512" s="10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60</v>
      </c>
      <c r="V2512">
        <f t="shared" si="23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 s="8">
        <f t="shared" si="235"/>
        <v>0</v>
      </c>
      <c r="Q2513" s="10" t="s">
        <v>8334</v>
      </c>
      <c r="R2513" s="10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 s="8">
        <f t="shared" si="235"/>
        <v>0</v>
      </c>
      <c r="Q2514" s="10" t="s">
        <v>8334</v>
      </c>
      <c r="R2514" s="10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15</v>
      </c>
      <c r="V2514">
        <f t="shared" si="23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 s="8">
        <f t="shared" si="235"/>
        <v>0</v>
      </c>
      <c r="Q2515" s="10" t="s">
        <v>8334</v>
      </c>
      <c r="R2515" s="10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60</v>
      </c>
      <c r="V2515">
        <f t="shared" si="23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 s="8">
        <f t="shared" si="235"/>
        <v>52.5</v>
      </c>
      <c r="Q2516" s="10" t="s">
        <v>8334</v>
      </c>
      <c r="R2516" s="10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17</v>
      </c>
      <c r="V2516">
        <f t="shared" si="23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 s="8">
        <f t="shared" si="235"/>
        <v>77.5</v>
      </c>
      <c r="Q2517" s="10" t="s">
        <v>8334</v>
      </c>
      <c r="R2517" s="10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30</v>
      </c>
      <c r="V2517">
        <f t="shared" si="23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 s="8">
        <f t="shared" si="235"/>
        <v>0</v>
      </c>
      <c r="Q2518" s="10" t="s">
        <v>8334</v>
      </c>
      <c r="R2518" s="10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30</v>
      </c>
      <c r="V2518">
        <f t="shared" si="23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 s="8">
        <f t="shared" si="235"/>
        <v>53.55</v>
      </c>
      <c r="Q2519" s="10" t="s">
        <v>8334</v>
      </c>
      <c r="R2519" s="10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30</v>
      </c>
      <c r="V2519">
        <f t="shared" si="23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 s="8">
        <f t="shared" si="235"/>
        <v>0</v>
      </c>
      <c r="Q2520" s="10" t="s">
        <v>8334</v>
      </c>
      <c r="R2520" s="1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30</v>
      </c>
      <c r="V2520">
        <f t="shared" si="23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 s="8">
        <f t="shared" si="235"/>
        <v>16.25</v>
      </c>
      <c r="Q2521" s="10" t="s">
        <v>8334</v>
      </c>
      <c r="R2521" s="10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30</v>
      </c>
      <c r="V2521">
        <f t="shared" si="23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 s="8">
        <f t="shared" si="235"/>
        <v>0</v>
      </c>
      <c r="Q2522" s="10" t="s">
        <v>8334</v>
      </c>
      <c r="R2522" s="10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46</v>
      </c>
      <c r="V2522">
        <f t="shared" si="23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 s="8">
        <f t="shared" si="235"/>
        <v>103.68</v>
      </c>
      <c r="Q2523" s="10" t="s">
        <v>8323</v>
      </c>
      <c r="R2523" s="10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21</v>
      </c>
      <c r="V2523">
        <f t="shared" si="23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 s="8">
        <f t="shared" si="235"/>
        <v>185.19</v>
      </c>
      <c r="Q2524" s="10" t="s">
        <v>8323</v>
      </c>
      <c r="R2524" s="10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22</v>
      </c>
      <c r="V2524">
        <f t="shared" si="23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 s="8">
        <f t="shared" si="235"/>
        <v>54.15</v>
      </c>
      <c r="Q2525" s="10" t="s">
        <v>8323</v>
      </c>
      <c r="R2525" s="10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30</v>
      </c>
      <c r="V2525">
        <f t="shared" si="23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 s="8">
        <f t="shared" si="235"/>
        <v>177.21</v>
      </c>
      <c r="Q2526" s="10" t="s">
        <v>8323</v>
      </c>
      <c r="R2526" s="10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32</v>
      </c>
      <c r="V2526">
        <f t="shared" si="23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 s="8">
        <f t="shared" si="235"/>
        <v>100.33</v>
      </c>
      <c r="Q2527" s="10" t="s">
        <v>8323</v>
      </c>
      <c r="R2527" s="10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30</v>
      </c>
      <c r="V2527">
        <f t="shared" si="23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 s="8">
        <f t="shared" si="235"/>
        <v>136.91</v>
      </c>
      <c r="Q2528" s="10" t="s">
        <v>8323</v>
      </c>
      <c r="R2528" s="10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28</v>
      </c>
      <c r="V2528">
        <f t="shared" si="23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 s="8">
        <f t="shared" si="235"/>
        <v>57.54</v>
      </c>
      <c r="Q2529" s="10" t="s">
        <v>8323</v>
      </c>
      <c r="R2529" s="10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18</v>
      </c>
      <c r="V2529">
        <f t="shared" si="23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 s="8">
        <f t="shared" si="235"/>
        <v>52.96</v>
      </c>
      <c r="Q2530" s="10" t="s">
        <v>8323</v>
      </c>
      <c r="R2530" s="1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19</v>
      </c>
      <c r="V2530">
        <f t="shared" si="23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 s="8">
        <f t="shared" si="235"/>
        <v>82.33</v>
      </c>
      <c r="Q2531" s="10" t="s">
        <v>8323</v>
      </c>
      <c r="R2531" s="10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45</v>
      </c>
      <c r="V2531">
        <f t="shared" si="23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 s="8">
        <f t="shared" si="235"/>
        <v>135.41999999999999</v>
      </c>
      <c r="Q2532" s="10" t="s">
        <v>8323</v>
      </c>
      <c r="R2532" s="10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32</v>
      </c>
      <c r="V2532">
        <f t="shared" si="23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 s="8">
        <f t="shared" si="235"/>
        <v>74.069999999999993</v>
      </c>
      <c r="Q2533" s="10" t="s">
        <v>8323</v>
      </c>
      <c r="R2533" s="10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22</v>
      </c>
      <c r="V2533">
        <f t="shared" si="23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 s="8">
        <f t="shared" si="235"/>
        <v>84.08</v>
      </c>
      <c r="Q2534" s="10" t="s">
        <v>8323</v>
      </c>
      <c r="R2534" s="10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30</v>
      </c>
      <c r="V2534">
        <f t="shared" si="23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 s="8">
        <f t="shared" si="235"/>
        <v>61.03</v>
      </c>
      <c r="Q2535" s="10" t="s">
        <v>8323</v>
      </c>
      <c r="R2535" s="10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30</v>
      </c>
      <c r="V2535">
        <f t="shared" si="23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 s="8">
        <f t="shared" si="235"/>
        <v>150</v>
      </c>
      <c r="Q2536" s="10" t="s">
        <v>8323</v>
      </c>
      <c r="R2536" s="10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52</v>
      </c>
      <c r="V2536">
        <f t="shared" si="23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 s="8">
        <f t="shared" si="235"/>
        <v>266.08999999999997</v>
      </c>
      <c r="Q2537" s="10" t="s">
        <v>8323</v>
      </c>
      <c r="R2537" s="10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31</v>
      </c>
      <c r="V2537">
        <f t="shared" si="23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 s="8">
        <f t="shared" si="235"/>
        <v>7.25</v>
      </c>
      <c r="Q2538" s="10" t="s">
        <v>8323</v>
      </c>
      <c r="R2538" s="10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21</v>
      </c>
      <c r="V2538">
        <f t="shared" si="23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 s="8">
        <f t="shared" si="235"/>
        <v>100</v>
      </c>
      <c r="Q2539" s="10" t="s">
        <v>8323</v>
      </c>
      <c r="R2539" s="10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60</v>
      </c>
      <c r="V2539">
        <f t="shared" si="23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 s="8">
        <f t="shared" si="235"/>
        <v>109.96</v>
      </c>
      <c r="Q2540" s="10" t="s">
        <v>8323</v>
      </c>
      <c r="R2540" s="1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31</v>
      </c>
      <c r="V2540">
        <f t="shared" si="23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 s="8">
        <f t="shared" si="235"/>
        <v>169.92</v>
      </c>
      <c r="Q2541" s="10" t="s">
        <v>8323</v>
      </c>
      <c r="R2541" s="10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60</v>
      </c>
      <c r="V2541">
        <f t="shared" si="23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 s="8">
        <f t="shared" si="235"/>
        <v>95.74</v>
      </c>
      <c r="Q2542" s="10" t="s">
        <v>8323</v>
      </c>
      <c r="R2542" s="10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60</v>
      </c>
      <c r="V2542">
        <f t="shared" si="23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 s="8">
        <f t="shared" si="235"/>
        <v>59.46</v>
      </c>
      <c r="Q2543" s="10" t="s">
        <v>8323</v>
      </c>
      <c r="R2543" s="10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60</v>
      </c>
      <c r="V2543">
        <f t="shared" si="23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 s="8">
        <f t="shared" si="235"/>
        <v>55.77</v>
      </c>
      <c r="Q2544" s="10" t="s">
        <v>8323</v>
      </c>
      <c r="R2544" s="10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39</v>
      </c>
      <c r="V2544">
        <f t="shared" si="23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 s="8">
        <f t="shared" si="235"/>
        <v>30.08</v>
      </c>
      <c r="Q2545" s="10" t="s">
        <v>8323</v>
      </c>
      <c r="R2545" s="10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31</v>
      </c>
      <c r="V2545">
        <f t="shared" si="23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 s="8">
        <f t="shared" si="235"/>
        <v>88.44</v>
      </c>
      <c r="Q2546" s="10" t="s">
        <v>8323</v>
      </c>
      <c r="R2546" s="10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30</v>
      </c>
      <c r="V2546">
        <f t="shared" si="23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 s="8">
        <f t="shared" si="235"/>
        <v>64.03</v>
      </c>
      <c r="Q2547" s="10" t="s">
        <v>8323</v>
      </c>
      <c r="R2547" s="10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35</v>
      </c>
      <c r="V2547">
        <f t="shared" si="23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 s="8">
        <f t="shared" si="235"/>
        <v>60.15</v>
      </c>
      <c r="Q2548" s="10" t="s">
        <v>8323</v>
      </c>
      <c r="R2548" s="10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27</v>
      </c>
      <c r="V2548">
        <f t="shared" si="23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 s="8">
        <f t="shared" si="235"/>
        <v>49.19</v>
      </c>
      <c r="Q2549" s="10" t="s">
        <v>8323</v>
      </c>
      <c r="R2549" s="10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30</v>
      </c>
      <c r="V2549">
        <f t="shared" si="23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 s="8">
        <f t="shared" si="235"/>
        <v>165.16</v>
      </c>
      <c r="Q2550" s="10" t="s">
        <v>8323</v>
      </c>
      <c r="R2550" s="1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25</v>
      </c>
      <c r="V2550">
        <f t="shared" si="23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 s="8">
        <f t="shared" si="235"/>
        <v>43.62</v>
      </c>
      <c r="Q2551" s="10" t="s">
        <v>8323</v>
      </c>
      <c r="R2551" s="10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35</v>
      </c>
      <c r="V2551">
        <f t="shared" si="23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 s="8">
        <f t="shared" si="235"/>
        <v>43.7</v>
      </c>
      <c r="Q2552" s="10" t="s">
        <v>8323</v>
      </c>
      <c r="R2552" s="10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57</v>
      </c>
      <c r="V2552">
        <f t="shared" si="23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 s="8">
        <f t="shared" si="235"/>
        <v>67.42</v>
      </c>
      <c r="Q2553" s="10" t="s">
        <v>8323</v>
      </c>
      <c r="R2553" s="10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29</v>
      </c>
      <c r="V2553">
        <f t="shared" si="23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 s="8">
        <f t="shared" si="235"/>
        <v>177.5</v>
      </c>
      <c r="Q2554" s="10" t="s">
        <v>8323</v>
      </c>
      <c r="R2554" s="10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30</v>
      </c>
      <c r="V2554">
        <f t="shared" si="23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 s="8">
        <f t="shared" si="235"/>
        <v>38.880000000000003</v>
      </c>
      <c r="Q2555" s="10" t="s">
        <v>8323</v>
      </c>
      <c r="R2555" s="10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60</v>
      </c>
      <c r="V2555">
        <f t="shared" si="23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 s="8">
        <f t="shared" si="235"/>
        <v>54.99</v>
      </c>
      <c r="Q2556" s="10" t="s">
        <v>8323</v>
      </c>
      <c r="R2556" s="10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31</v>
      </c>
      <c r="V2556">
        <f t="shared" si="23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 s="8">
        <f t="shared" si="235"/>
        <v>61.34</v>
      </c>
      <c r="Q2557" s="10" t="s">
        <v>8323</v>
      </c>
      <c r="R2557" s="10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31</v>
      </c>
      <c r="V2557">
        <f t="shared" si="23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 s="8">
        <f t="shared" si="235"/>
        <v>23.12</v>
      </c>
      <c r="Q2558" s="10" t="s">
        <v>8323</v>
      </c>
      <c r="R2558" s="10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45</v>
      </c>
      <c r="V2558">
        <f t="shared" si="23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 s="8">
        <f t="shared" si="235"/>
        <v>29.61</v>
      </c>
      <c r="Q2559" s="10" t="s">
        <v>8323</v>
      </c>
      <c r="R2559" s="10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30</v>
      </c>
      <c r="V2559">
        <f t="shared" si="23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 s="8">
        <f t="shared" si="235"/>
        <v>75.61</v>
      </c>
      <c r="Q2560" s="10" t="s">
        <v>8323</v>
      </c>
      <c r="R2560" s="1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32</v>
      </c>
      <c r="V2560">
        <f t="shared" si="23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 s="8">
        <f t="shared" si="235"/>
        <v>35.6</v>
      </c>
      <c r="Q2561" s="10" t="s">
        <v>8323</v>
      </c>
      <c r="R2561" s="10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33</v>
      </c>
      <c r="V2561">
        <f t="shared" si="23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ROUND((E2562/D2562)*100, 0)</f>
        <v>100</v>
      </c>
      <c r="P2562" s="8">
        <f t="shared" ref="P2562:P2625" si="241">IFERROR(ROUND(E2562/L2562, 2), 0)</f>
        <v>143</v>
      </c>
      <c r="Q2562" s="10" t="s">
        <v>8323</v>
      </c>
      <c r="R2562" s="10" t="s">
        <v>8352</v>
      </c>
      <c r="S2562" s="16">
        <f t="shared" ref="S2562:S2625" si="242">(J2562/60/60/24)+DATE(1970, 1, 1)</f>
        <v>42039.951087962967</v>
      </c>
      <c r="T2562" s="16">
        <f t="shared" ref="T2562:T2625" si="243">(I2562/60/60/24)+DATE(1970, 1, 1)</f>
        <v>42069.951087962967</v>
      </c>
      <c r="U2562">
        <f t="shared" si="238"/>
        <v>30</v>
      </c>
      <c r="V2562">
        <f t="shared" si="23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 s="8">
        <f t="shared" si="241"/>
        <v>0</v>
      </c>
      <c r="Q2563" s="10" t="s">
        <v>8334</v>
      </c>
      <c r="R2563" s="10" t="s">
        <v>8335</v>
      </c>
      <c r="S2563" s="16">
        <f t="shared" si="242"/>
        <v>42260.528807870374</v>
      </c>
      <c r="T2563" s="16">
        <f t="shared" si="243"/>
        <v>42290.528807870374</v>
      </c>
      <c r="U2563">
        <f t="shared" ref="U2563:U2626" si="244">ROUND(T2563-S2563, 0)</f>
        <v>30</v>
      </c>
      <c r="V2563">
        <f t="shared" ref="V2563:V2626" si="245">YEAR($S2563)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 s="8">
        <f t="shared" si="241"/>
        <v>25</v>
      </c>
      <c r="Q2564" s="10" t="s">
        <v>8334</v>
      </c>
      <c r="R2564" s="10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60</v>
      </c>
      <c r="V2564">
        <f t="shared" si="245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 s="8">
        <f t="shared" si="241"/>
        <v>0</v>
      </c>
      <c r="Q2565" s="10" t="s">
        <v>8334</v>
      </c>
      <c r="R2565" s="10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60</v>
      </c>
      <c r="V2565">
        <f t="shared" si="245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s="8">
        <f t="shared" si="241"/>
        <v>0</v>
      </c>
      <c r="Q2566" s="10" t="s">
        <v>8334</v>
      </c>
      <c r="R2566" s="10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30</v>
      </c>
      <c r="V2566">
        <f t="shared" si="245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 s="8">
        <f t="shared" si="241"/>
        <v>100</v>
      </c>
      <c r="Q2567" s="10" t="s">
        <v>8334</v>
      </c>
      <c r="R2567" s="10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59</v>
      </c>
      <c r="V2567">
        <f t="shared" si="245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 s="8">
        <f t="shared" si="241"/>
        <v>0</v>
      </c>
      <c r="Q2568" s="10" t="s">
        <v>8334</v>
      </c>
      <c r="R2568" s="10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30</v>
      </c>
      <c r="V2568">
        <f t="shared" si="245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 s="8">
        <f t="shared" si="241"/>
        <v>60</v>
      </c>
      <c r="Q2569" s="10" t="s">
        <v>8334</v>
      </c>
      <c r="R2569" s="10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30</v>
      </c>
      <c r="V2569">
        <f t="shared" si="245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 s="8">
        <f t="shared" si="241"/>
        <v>50</v>
      </c>
      <c r="Q2570" s="10" t="s">
        <v>8334</v>
      </c>
      <c r="R2570" s="1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30</v>
      </c>
      <c r="V2570">
        <f t="shared" si="245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 s="8">
        <f t="shared" si="241"/>
        <v>72.5</v>
      </c>
      <c r="Q2571" s="10" t="s">
        <v>8334</v>
      </c>
      <c r="R2571" s="10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30</v>
      </c>
      <c r="V2571">
        <f t="shared" si="245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 s="8">
        <f t="shared" si="241"/>
        <v>29.5</v>
      </c>
      <c r="Q2572" s="10" t="s">
        <v>8334</v>
      </c>
      <c r="R2572" s="10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30</v>
      </c>
      <c r="V2572">
        <f t="shared" si="245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 s="8">
        <f t="shared" si="241"/>
        <v>62.5</v>
      </c>
      <c r="Q2573" s="10" t="s">
        <v>8334</v>
      </c>
      <c r="R2573" s="10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60</v>
      </c>
      <c r="V2573">
        <f t="shared" si="245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 s="8">
        <f t="shared" si="241"/>
        <v>0</v>
      </c>
      <c r="Q2574" s="10" t="s">
        <v>8334</v>
      </c>
      <c r="R2574" s="10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30</v>
      </c>
      <c r="V2574">
        <f t="shared" si="245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 s="8">
        <f t="shared" si="241"/>
        <v>0</v>
      </c>
      <c r="Q2575" s="10" t="s">
        <v>8334</v>
      </c>
      <c r="R2575" s="10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45</v>
      </c>
      <c r="V2575">
        <f t="shared" si="245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 s="8">
        <f t="shared" si="241"/>
        <v>0</v>
      </c>
      <c r="Q2576" s="10" t="s">
        <v>8334</v>
      </c>
      <c r="R2576" s="10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21</v>
      </c>
      <c r="V2576">
        <f t="shared" si="245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 s="8">
        <f t="shared" si="241"/>
        <v>0</v>
      </c>
      <c r="Q2577" s="10" t="s">
        <v>8334</v>
      </c>
      <c r="R2577" s="10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30</v>
      </c>
      <c r="V2577">
        <f t="shared" si="245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 s="8">
        <f t="shared" si="241"/>
        <v>0</v>
      </c>
      <c r="Q2578" s="10" t="s">
        <v>8334</v>
      </c>
      <c r="R2578" s="10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45</v>
      </c>
      <c r="V2578">
        <f t="shared" si="245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 s="8">
        <f t="shared" si="241"/>
        <v>0</v>
      </c>
      <c r="Q2579" s="10" t="s">
        <v>8334</v>
      </c>
      <c r="R2579" s="10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25</v>
      </c>
      <c r="V2579">
        <f t="shared" si="245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 s="8">
        <f t="shared" si="241"/>
        <v>0</v>
      </c>
      <c r="Q2580" s="10" t="s">
        <v>8334</v>
      </c>
      <c r="R2580" s="1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49</v>
      </c>
      <c r="V2580">
        <f t="shared" si="245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 s="8">
        <f t="shared" si="241"/>
        <v>23.08</v>
      </c>
      <c r="Q2581" s="10" t="s">
        <v>8334</v>
      </c>
      <c r="R2581" s="10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60</v>
      </c>
      <c r="V2581">
        <f t="shared" si="245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 s="8">
        <f t="shared" si="241"/>
        <v>25.5</v>
      </c>
      <c r="Q2582" s="10" t="s">
        <v>8334</v>
      </c>
      <c r="R2582" s="10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30</v>
      </c>
      <c r="V2582">
        <f t="shared" si="245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 s="8">
        <f t="shared" si="241"/>
        <v>48.18</v>
      </c>
      <c r="Q2583" s="10" t="s">
        <v>8334</v>
      </c>
      <c r="R2583" s="10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30</v>
      </c>
      <c r="V2583">
        <f t="shared" si="245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 s="8">
        <f t="shared" si="241"/>
        <v>1</v>
      </c>
      <c r="Q2584" s="10" t="s">
        <v>8334</v>
      </c>
      <c r="R2584" s="10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30</v>
      </c>
      <c r="V2584">
        <f t="shared" si="245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 s="8">
        <f t="shared" si="241"/>
        <v>1</v>
      </c>
      <c r="Q2585" s="10" t="s">
        <v>8334</v>
      </c>
      <c r="R2585" s="10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60</v>
      </c>
      <c r="V2585">
        <f t="shared" si="245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s="8">
        <f t="shared" si="241"/>
        <v>0</v>
      </c>
      <c r="Q2586" s="10" t="s">
        <v>8334</v>
      </c>
      <c r="R2586" s="10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30</v>
      </c>
      <c r="V2586">
        <f t="shared" si="245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 s="8">
        <f t="shared" si="241"/>
        <v>50</v>
      </c>
      <c r="Q2587" s="10" t="s">
        <v>8334</v>
      </c>
      <c r="R2587" s="10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30</v>
      </c>
      <c r="V2587">
        <f t="shared" si="245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 s="8">
        <f t="shared" si="241"/>
        <v>5</v>
      </c>
      <c r="Q2588" s="10" t="s">
        <v>8334</v>
      </c>
      <c r="R2588" s="10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30</v>
      </c>
      <c r="V2588">
        <f t="shared" si="245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 s="8">
        <f t="shared" si="241"/>
        <v>202.83</v>
      </c>
      <c r="Q2589" s="10" t="s">
        <v>8334</v>
      </c>
      <c r="R2589" s="10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30</v>
      </c>
      <c r="V2589">
        <f t="shared" si="245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 s="8">
        <f t="shared" si="241"/>
        <v>29.13</v>
      </c>
      <c r="Q2590" s="10" t="s">
        <v>8334</v>
      </c>
      <c r="R2590" s="1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52</v>
      </c>
      <c r="V2590">
        <f t="shared" si="245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 s="8">
        <f t="shared" si="241"/>
        <v>5</v>
      </c>
      <c r="Q2591" s="10" t="s">
        <v>8334</v>
      </c>
      <c r="R2591" s="10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30</v>
      </c>
      <c r="V2591">
        <f t="shared" si="245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 s="8">
        <f t="shared" si="241"/>
        <v>0</v>
      </c>
      <c r="Q2592" s="10" t="s">
        <v>8334</v>
      </c>
      <c r="R2592" s="10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7</v>
      </c>
      <c r="V2592">
        <f t="shared" si="245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 s="8">
        <f t="shared" si="241"/>
        <v>13</v>
      </c>
      <c r="Q2593" s="10" t="s">
        <v>8334</v>
      </c>
      <c r="R2593" s="10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60</v>
      </c>
      <c r="V2593">
        <f t="shared" si="245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 s="8">
        <f t="shared" si="241"/>
        <v>50</v>
      </c>
      <c r="Q2594" s="10" t="s">
        <v>8334</v>
      </c>
      <c r="R2594" s="10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30</v>
      </c>
      <c r="V2594">
        <f t="shared" si="245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 s="8">
        <f t="shared" si="241"/>
        <v>0</v>
      </c>
      <c r="Q2595" s="10" t="s">
        <v>8334</v>
      </c>
      <c r="R2595" s="10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30</v>
      </c>
      <c r="V2595">
        <f t="shared" si="245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 s="8">
        <f t="shared" si="241"/>
        <v>1</v>
      </c>
      <c r="Q2596" s="10" t="s">
        <v>8334</v>
      </c>
      <c r="R2596" s="10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30</v>
      </c>
      <c r="V2596">
        <f t="shared" si="245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 s="8">
        <f t="shared" si="241"/>
        <v>96.05</v>
      </c>
      <c r="Q2597" s="10" t="s">
        <v>8334</v>
      </c>
      <c r="R2597" s="10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30</v>
      </c>
      <c r="V2597">
        <f t="shared" si="245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 s="8">
        <f t="shared" si="241"/>
        <v>305.77999999999997</v>
      </c>
      <c r="Q2598" s="10" t="s">
        <v>8334</v>
      </c>
      <c r="R2598" s="10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30</v>
      </c>
      <c r="V2598">
        <f t="shared" si="245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 s="8">
        <f t="shared" si="241"/>
        <v>12.14</v>
      </c>
      <c r="Q2599" s="10" t="s">
        <v>8334</v>
      </c>
      <c r="R2599" s="10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30</v>
      </c>
      <c r="V2599">
        <f t="shared" si="245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 s="8">
        <f t="shared" si="241"/>
        <v>83.57</v>
      </c>
      <c r="Q2600" s="10" t="s">
        <v>8334</v>
      </c>
      <c r="R2600" s="1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30</v>
      </c>
      <c r="V2600">
        <f t="shared" si="245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 s="8">
        <f t="shared" si="241"/>
        <v>18</v>
      </c>
      <c r="Q2601" s="10" t="s">
        <v>8334</v>
      </c>
      <c r="R2601" s="10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45</v>
      </c>
      <c r="V2601">
        <f t="shared" si="245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 s="8">
        <f t="shared" si="241"/>
        <v>115.53</v>
      </c>
      <c r="Q2602" s="10" t="s">
        <v>8334</v>
      </c>
      <c r="R2602" s="10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60</v>
      </c>
      <c r="V2602">
        <f t="shared" si="245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 s="8">
        <f t="shared" si="241"/>
        <v>21.9</v>
      </c>
      <c r="Q2603" s="10" t="s">
        <v>8317</v>
      </c>
      <c r="R2603" s="10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14</v>
      </c>
      <c r="V2603">
        <f t="shared" si="245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 s="8">
        <f t="shared" si="241"/>
        <v>80.02</v>
      </c>
      <c r="Q2604" s="10" t="s">
        <v>8317</v>
      </c>
      <c r="R2604" s="10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40</v>
      </c>
      <c r="V2604">
        <f t="shared" si="245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 s="8">
        <f t="shared" si="241"/>
        <v>35.520000000000003</v>
      </c>
      <c r="Q2605" s="10" t="s">
        <v>8317</v>
      </c>
      <c r="R2605" s="10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14</v>
      </c>
      <c r="V2605">
        <f t="shared" si="245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 s="8">
        <f t="shared" si="241"/>
        <v>64.930000000000007</v>
      </c>
      <c r="Q2606" s="10" t="s">
        <v>8317</v>
      </c>
      <c r="R2606" s="10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30</v>
      </c>
      <c r="V2606">
        <f t="shared" si="245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 s="8">
        <f t="shared" si="241"/>
        <v>60.97</v>
      </c>
      <c r="Q2607" s="10" t="s">
        <v>8317</v>
      </c>
      <c r="R2607" s="10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30</v>
      </c>
      <c r="V2607">
        <f t="shared" si="245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 s="8">
        <f t="shared" si="241"/>
        <v>31.44</v>
      </c>
      <c r="Q2608" s="10" t="s">
        <v>8317</v>
      </c>
      <c r="R2608" s="10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32</v>
      </c>
      <c r="V2608">
        <f t="shared" si="245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 s="8">
        <f t="shared" si="241"/>
        <v>81.95</v>
      </c>
      <c r="Q2609" s="10" t="s">
        <v>8317</v>
      </c>
      <c r="R2609" s="10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43</v>
      </c>
      <c r="V2609">
        <f t="shared" si="245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 s="8">
        <f t="shared" si="241"/>
        <v>58.93</v>
      </c>
      <c r="Q2610" s="10" t="s">
        <v>8317</v>
      </c>
      <c r="R2610" s="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41</v>
      </c>
      <c r="V2610">
        <f t="shared" si="245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 s="8">
        <f t="shared" si="241"/>
        <v>157.29</v>
      </c>
      <c r="Q2611" s="10" t="s">
        <v>8317</v>
      </c>
      <c r="R2611" s="10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30</v>
      </c>
      <c r="V2611">
        <f t="shared" si="245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 s="8">
        <f t="shared" si="241"/>
        <v>55.76</v>
      </c>
      <c r="Q2612" s="10" t="s">
        <v>8317</v>
      </c>
      <c r="R2612" s="10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39</v>
      </c>
      <c r="V2612">
        <f t="shared" si="245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 s="8">
        <f t="shared" si="241"/>
        <v>83.8</v>
      </c>
      <c r="Q2613" s="10" t="s">
        <v>8317</v>
      </c>
      <c r="R2613" s="10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34</v>
      </c>
      <c r="V2613">
        <f t="shared" si="245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 s="8">
        <f t="shared" si="241"/>
        <v>58.42</v>
      </c>
      <c r="Q2614" s="10" t="s">
        <v>8317</v>
      </c>
      <c r="R2614" s="10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31</v>
      </c>
      <c r="V2614">
        <f t="shared" si="245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 s="8">
        <f t="shared" si="241"/>
        <v>270.57</v>
      </c>
      <c r="Q2615" s="10" t="s">
        <v>8317</v>
      </c>
      <c r="R2615" s="10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30</v>
      </c>
      <c r="V2615">
        <f t="shared" si="245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 s="8">
        <f t="shared" si="241"/>
        <v>107.1</v>
      </c>
      <c r="Q2616" s="10" t="s">
        <v>8317</v>
      </c>
      <c r="R2616" s="10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28</v>
      </c>
      <c r="V2616">
        <f t="shared" si="245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 s="8">
        <f t="shared" si="241"/>
        <v>47.18</v>
      </c>
      <c r="Q2617" s="10" t="s">
        <v>8317</v>
      </c>
      <c r="R2617" s="10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37</v>
      </c>
      <c r="V2617">
        <f t="shared" si="245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 s="8">
        <f t="shared" si="241"/>
        <v>120.31</v>
      </c>
      <c r="Q2618" s="10" t="s">
        <v>8317</v>
      </c>
      <c r="R2618" s="10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30</v>
      </c>
      <c r="V2618">
        <f t="shared" si="245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 s="8">
        <f t="shared" si="241"/>
        <v>27.6</v>
      </c>
      <c r="Q2619" s="10" t="s">
        <v>8317</v>
      </c>
      <c r="R2619" s="10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30</v>
      </c>
      <c r="V2619">
        <f t="shared" si="245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 s="8">
        <f t="shared" si="241"/>
        <v>205.3</v>
      </c>
      <c r="Q2620" s="10" t="s">
        <v>8317</v>
      </c>
      <c r="R2620" s="1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60</v>
      </c>
      <c r="V2620">
        <f t="shared" si="245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 s="8">
        <f t="shared" si="241"/>
        <v>35.549999999999997</v>
      </c>
      <c r="Q2621" s="10" t="s">
        <v>8317</v>
      </c>
      <c r="R2621" s="10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27</v>
      </c>
      <c r="V2621">
        <f t="shared" si="245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 s="8">
        <f t="shared" si="241"/>
        <v>74.64</v>
      </c>
      <c r="Q2622" s="10" t="s">
        <v>8317</v>
      </c>
      <c r="R2622" s="10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37</v>
      </c>
      <c r="V2622">
        <f t="shared" si="245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 s="8">
        <f t="shared" si="241"/>
        <v>47.06</v>
      </c>
      <c r="Q2623" s="10" t="s">
        <v>8317</v>
      </c>
      <c r="R2623" s="10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30</v>
      </c>
      <c r="V2623">
        <f t="shared" si="245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 s="8">
        <f t="shared" si="241"/>
        <v>26.59</v>
      </c>
      <c r="Q2624" s="10" t="s">
        <v>8317</v>
      </c>
      <c r="R2624" s="10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45</v>
      </c>
      <c r="V2624">
        <f t="shared" si="245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 s="8">
        <f t="shared" si="241"/>
        <v>36.770000000000003</v>
      </c>
      <c r="Q2625" s="10" t="s">
        <v>8317</v>
      </c>
      <c r="R2625" s="10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14</v>
      </c>
      <c r="V2625">
        <f t="shared" si="245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ROUND((E2626/D2626)*100, 0)</f>
        <v>1379</v>
      </c>
      <c r="P2626" s="8">
        <f t="shared" ref="P2626:P2689" si="247">IFERROR(ROUND(E2626/L2626, 2), 0)</f>
        <v>31.82</v>
      </c>
      <c r="Q2626" s="10" t="s">
        <v>8317</v>
      </c>
      <c r="R2626" s="10" t="s">
        <v>8353</v>
      </c>
      <c r="S2626" s="16">
        <f t="shared" ref="S2626:S2689" si="248">(J2626/60/60/24)+DATE(1970, 1, 1)</f>
        <v>41144.42155092593</v>
      </c>
      <c r="T2626" s="16">
        <f t="shared" ref="T2626:T2689" si="249">(I2626/60/60/24)+DATE(1970, 1, 1)</f>
        <v>41165.42155092593</v>
      </c>
      <c r="U2626">
        <f t="shared" si="244"/>
        <v>21</v>
      </c>
      <c r="V2626">
        <f t="shared" si="245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 s="8">
        <f t="shared" si="247"/>
        <v>27.58</v>
      </c>
      <c r="Q2627" s="10" t="s">
        <v>8317</v>
      </c>
      <c r="R2627" s="10" t="s">
        <v>8353</v>
      </c>
      <c r="S2627" s="16">
        <f t="shared" si="248"/>
        <v>42658.810277777782</v>
      </c>
      <c r="T2627" s="16">
        <f t="shared" si="249"/>
        <v>42683.851944444439</v>
      </c>
      <c r="U2627">
        <f t="shared" ref="U2627:U2690" si="250">ROUND(T2627-S2627, 0)</f>
        <v>25</v>
      </c>
      <c r="V2627">
        <f t="shared" ref="V2627:V2690" si="251">YEAR($S2627)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 s="8">
        <f t="shared" si="247"/>
        <v>56</v>
      </c>
      <c r="Q2628" s="10" t="s">
        <v>8317</v>
      </c>
      <c r="R2628" s="10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30</v>
      </c>
      <c r="V2628">
        <f t="shared" si="251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 s="8">
        <f t="shared" si="247"/>
        <v>21.56</v>
      </c>
      <c r="Q2629" s="10" t="s">
        <v>8317</v>
      </c>
      <c r="R2629" s="10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30</v>
      </c>
      <c r="V2629">
        <f t="shared" si="251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 s="8">
        <f t="shared" si="247"/>
        <v>44.1</v>
      </c>
      <c r="Q2630" s="10" t="s">
        <v>8317</v>
      </c>
      <c r="R2630" s="1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</v>
      </c>
      <c r="V2630">
        <f t="shared" si="251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 s="8">
        <f t="shared" si="247"/>
        <v>63.87</v>
      </c>
      <c r="Q2631" s="10" t="s">
        <v>8317</v>
      </c>
      <c r="R2631" s="10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30</v>
      </c>
      <c r="V2631">
        <f t="shared" si="251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 s="8">
        <f t="shared" si="247"/>
        <v>38.99</v>
      </c>
      <c r="Q2632" s="10" t="s">
        <v>8317</v>
      </c>
      <c r="R2632" s="10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27</v>
      </c>
      <c r="V2632">
        <f t="shared" si="251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 s="8">
        <f t="shared" si="247"/>
        <v>80.19</v>
      </c>
      <c r="Q2633" s="10" t="s">
        <v>8317</v>
      </c>
      <c r="R2633" s="10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28</v>
      </c>
      <c r="V2633">
        <f t="shared" si="251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 s="8">
        <f t="shared" si="247"/>
        <v>34.9</v>
      </c>
      <c r="Q2634" s="10" t="s">
        <v>8317</v>
      </c>
      <c r="R2634" s="10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25</v>
      </c>
      <c r="V2634">
        <f t="shared" si="251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 s="8">
        <f t="shared" si="247"/>
        <v>89.1</v>
      </c>
      <c r="Q2635" s="10" t="s">
        <v>8317</v>
      </c>
      <c r="R2635" s="10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30</v>
      </c>
      <c r="V2635">
        <f t="shared" si="251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 s="8">
        <f t="shared" si="247"/>
        <v>39.44</v>
      </c>
      <c r="Q2636" s="10" t="s">
        <v>8317</v>
      </c>
      <c r="R2636" s="10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30</v>
      </c>
      <c r="V2636">
        <f t="shared" si="251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 s="8">
        <f t="shared" si="247"/>
        <v>136.9</v>
      </c>
      <c r="Q2637" s="10" t="s">
        <v>8317</v>
      </c>
      <c r="R2637" s="10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35</v>
      </c>
      <c r="V2637">
        <f t="shared" si="251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 s="8">
        <f t="shared" si="247"/>
        <v>37.46</v>
      </c>
      <c r="Q2638" s="10" t="s">
        <v>8317</v>
      </c>
      <c r="R2638" s="10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22</v>
      </c>
      <c r="V2638">
        <f t="shared" si="251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 s="8">
        <f t="shared" si="247"/>
        <v>31.96</v>
      </c>
      <c r="Q2639" s="10" t="s">
        <v>8317</v>
      </c>
      <c r="R2639" s="10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16</v>
      </c>
      <c r="V2639">
        <f t="shared" si="251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 s="8">
        <f t="shared" si="247"/>
        <v>25.21</v>
      </c>
      <c r="Q2640" s="10" t="s">
        <v>8317</v>
      </c>
      <c r="R2640" s="1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30</v>
      </c>
      <c r="V2640">
        <f t="shared" si="251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 s="8">
        <f t="shared" si="247"/>
        <v>10.039999999999999</v>
      </c>
      <c r="Q2641" s="10" t="s">
        <v>8317</v>
      </c>
      <c r="R2641" s="10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30</v>
      </c>
      <c r="V2641">
        <f t="shared" si="251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 s="8">
        <f t="shared" si="247"/>
        <v>45.94</v>
      </c>
      <c r="Q2642" s="10" t="s">
        <v>8317</v>
      </c>
      <c r="R2642" s="10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60</v>
      </c>
      <c r="V2642">
        <f t="shared" si="251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 s="8">
        <f t="shared" si="247"/>
        <v>15</v>
      </c>
      <c r="Q2643" s="10" t="s">
        <v>8317</v>
      </c>
      <c r="R2643" s="10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17</v>
      </c>
      <c r="V2643">
        <f t="shared" si="251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 s="8">
        <f t="shared" si="247"/>
        <v>0</v>
      </c>
      <c r="Q2644" s="10" t="s">
        <v>8317</v>
      </c>
      <c r="R2644" s="10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30</v>
      </c>
      <c r="V2644">
        <f t="shared" si="251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 s="8">
        <f t="shared" si="247"/>
        <v>223.58</v>
      </c>
      <c r="Q2645" s="10" t="s">
        <v>8317</v>
      </c>
      <c r="R2645" s="10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36</v>
      </c>
      <c r="V2645">
        <f t="shared" si="251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 s="8">
        <f t="shared" si="247"/>
        <v>39.479999999999997</v>
      </c>
      <c r="Q2646" s="10" t="s">
        <v>8317</v>
      </c>
      <c r="R2646" s="10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30</v>
      </c>
      <c r="V2646">
        <f t="shared" si="251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 s="8">
        <f t="shared" si="247"/>
        <v>91.3</v>
      </c>
      <c r="Q2647" s="10" t="s">
        <v>8317</v>
      </c>
      <c r="R2647" s="10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30</v>
      </c>
      <c r="V2647">
        <f t="shared" si="251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 s="8">
        <f t="shared" si="247"/>
        <v>78.67</v>
      </c>
      <c r="Q2648" s="10" t="s">
        <v>8317</v>
      </c>
      <c r="R2648" s="10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30</v>
      </c>
      <c r="V2648">
        <f t="shared" si="251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 s="8">
        <f t="shared" si="247"/>
        <v>12</v>
      </c>
      <c r="Q2649" s="10" t="s">
        <v>8317</v>
      </c>
      <c r="R2649" s="10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30</v>
      </c>
      <c r="V2649">
        <f t="shared" si="251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 s="8">
        <f t="shared" si="247"/>
        <v>17.670000000000002</v>
      </c>
      <c r="Q2650" s="10" t="s">
        <v>8317</v>
      </c>
      <c r="R2650" s="1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30</v>
      </c>
      <c r="V2650">
        <f t="shared" si="251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 s="8">
        <f t="shared" si="247"/>
        <v>41.33</v>
      </c>
      <c r="Q2651" s="10" t="s">
        <v>8317</v>
      </c>
      <c r="R2651" s="10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60</v>
      </c>
      <c r="V2651">
        <f t="shared" si="251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 s="8">
        <f t="shared" si="247"/>
        <v>71.599999999999994</v>
      </c>
      <c r="Q2652" s="10" t="s">
        <v>8317</v>
      </c>
      <c r="R2652" s="10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30</v>
      </c>
      <c r="V2652">
        <f t="shared" si="251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 s="8">
        <f t="shared" si="247"/>
        <v>307.82</v>
      </c>
      <c r="Q2653" s="10" t="s">
        <v>8317</v>
      </c>
      <c r="R2653" s="10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28</v>
      </c>
      <c r="V2653">
        <f t="shared" si="251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 s="8">
        <f t="shared" si="247"/>
        <v>80.45</v>
      </c>
      <c r="Q2654" s="10" t="s">
        <v>8317</v>
      </c>
      <c r="R2654" s="10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30</v>
      </c>
      <c r="V2654">
        <f t="shared" si="251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 s="8">
        <f t="shared" si="247"/>
        <v>83.94</v>
      </c>
      <c r="Q2655" s="10" t="s">
        <v>8317</v>
      </c>
      <c r="R2655" s="10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32</v>
      </c>
      <c r="V2655">
        <f t="shared" si="251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 s="8">
        <f t="shared" si="247"/>
        <v>8.5</v>
      </c>
      <c r="Q2656" s="10" t="s">
        <v>8317</v>
      </c>
      <c r="R2656" s="10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60</v>
      </c>
      <c r="V2656">
        <f t="shared" si="251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 s="8">
        <f t="shared" si="247"/>
        <v>73.37</v>
      </c>
      <c r="Q2657" s="10" t="s">
        <v>8317</v>
      </c>
      <c r="R2657" s="10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28</v>
      </c>
      <c r="V2657">
        <f t="shared" si="251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 s="8">
        <f t="shared" si="247"/>
        <v>112.86</v>
      </c>
      <c r="Q2658" s="10" t="s">
        <v>8317</v>
      </c>
      <c r="R2658" s="10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39</v>
      </c>
      <c r="V2658">
        <f t="shared" si="251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 s="8">
        <f t="shared" si="247"/>
        <v>95.28</v>
      </c>
      <c r="Q2659" s="10" t="s">
        <v>8317</v>
      </c>
      <c r="R2659" s="10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33</v>
      </c>
      <c r="V2659">
        <f t="shared" si="251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 s="8">
        <f t="shared" si="247"/>
        <v>22.75</v>
      </c>
      <c r="Q2660" s="10" t="s">
        <v>8317</v>
      </c>
      <c r="R2660" s="1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30</v>
      </c>
      <c r="V2660">
        <f t="shared" si="251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 s="8">
        <f t="shared" si="247"/>
        <v>133.30000000000001</v>
      </c>
      <c r="Q2661" s="10" t="s">
        <v>8317</v>
      </c>
      <c r="R2661" s="10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30</v>
      </c>
      <c r="V2661">
        <f t="shared" si="251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 s="8">
        <f t="shared" si="247"/>
        <v>3.8</v>
      </c>
      <c r="Q2662" s="10" t="s">
        <v>8317</v>
      </c>
      <c r="R2662" s="10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60</v>
      </c>
      <c r="V2662">
        <f t="shared" si="251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 s="8">
        <f t="shared" si="247"/>
        <v>85.75</v>
      </c>
      <c r="Q2663" s="10" t="s">
        <v>8317</v>
      </c>
      <c r="R2663" s="10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30</v>
      </c>
      <c r="V2663">
        <f t="shared" si="251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 s="8">
        <f t="shared" si="247"/>
        <v>267</v>
      </c>
      <c r="Q2664" s="10" t="s">
        <v>8317</v>
      </c>
      <c r="R2664" s="10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30</v>
      </c>
      <c r="V2664">
        <f t="shared" si="251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 s="8">
        <f t="shared" si="247"/>
        <v>373.56</v>
      </c>
      <c r="Q2665" s="10" t="s">
        <v>8317</v>
      </c>
      <c r="R2665" s="10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29</v>
      </c>
      <c r="V2665">
        <f t="shared" si="251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 s="8">
        <f t="shared" si="247"/>
        <v>174.04</v>
      </c>
      <c r="Q2666" s="10" t="s">
        <v>8317</v>
      </c>
      <c r="R2666" s="10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34</v>
      </c>
      <c r="V2666">
        <f t="shared" si="251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 s="8">
        <f t="shared" si="247"/>
        <v>93.7</v>
      </c>
      <c r="Q2667" s="10" t="s">
        <v>8317</v>
      </c>
      <c r="R2667" s="10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45</v>
      </c>
      <c r="V2667">
        <f t="shared" si="251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 s="8">
        <f t="shared" si="247"/>
        <v>77.33</v>
      </c>
      <c r="Q2668" s="10" t="s">
        <v>8317</v>
      </c>
      <c r="R2668" s="10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37</v>
      </c>
      <c r="V2668">
        <f t="shared" si="251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 s="8">
        <f t="shared" si="247"/>
        <v>92.22</v>
      </c>
      <c r="Q2669" s="10" t="s">
        <v>8317</v>
      </c>
      <c r="R2669" s="10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30</v>
      </c>
      <c r="V2669">
        <f t="shared" si="251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 s="8">
        <f t="shared" si="247"/>
        <v>60.96</v>
      </c>
      <c r="Q2670" s="10" t="s">
        <v>8317</v>
      </c>
      <c r="R2670" s="1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42</v>
      </c>
      <c r="V2670">
        <f t="shared" si="251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 s="8">
        <f t="shared" si="247"/>
        <v>91</v>
      </c>
      <c r="Q2671" s="10" t="s">
        <v>8317</v>
      </c>
      <c r="R2671" s="10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60</v>
      </c>
      <c r="V2671">
        <f t="shared" si="251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 s="8">
        <f t="shared" si="247"/>
        <v>41.58</v>
      </c>
      <c r="Q2672" s="10" t="s">
        <v>8317</v>
      </c>
      <c r="R2672" s="10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28</v>
      </c>
      <c r="V2672">
        <f t="shared" si="251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 s="8">
        <f t="shared" si="247"/>
        <v>33.76</v>
      </c>
      <c r="Q2673" s="10" t="s">
        <v>8317</v>
      </c>
      <c r="R2673" s="10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30</v>
      </c>
      <c r="V2673">
        <f t="shared" si="251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 s="8">
        <f t="shared" si="247"/>
        <v>70.62</v>
      </c>
      <c r="Q2674" s="10" t="s">
        <v>8317</v>
      </c>
      <c r="R2674" s="10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21</v>
      </c>
      <c r="V2674">
        <f t="shared" si="251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 s="8">
        <f t="shared" si="247"/>
        <v>167.15</v>
      </c>
      <c r="Q2675" s="10" t="s">
        <v>8317</v>
      </c>
      <c r="R2675" s="10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29</v>
      </c>
      <c r="V2675">
        <f t="shared" si="251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 s="8">
        <f t="shared" si="247"/>
        <v>128.62</v>
      </c>
      <c r="Q2676" s="10" t="s">
        <v>8317</v>
      </c>
      <c r="R2676" s="10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27</v>
      </c>
      <c r="V2676">
        <f t="shared" si="251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 s="8">
        <f t="shared" si="247"/>
        <v>65.41</v>
      </c>
      <c r="Q2677" s="10" t="s">
        <v>8317</v>
      </c>
      <c r="R2677" s="10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30</v>
      </c>
      <c r="V2677">
        <f t="shared" si="251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 s="8">
        <f t="shared" si="247"/>
        <v>117.56</v>
      </c>
      <c r="Q2678" s="10" t="s">
        <v>8317</v>
      </c>
      <c r="R2678" s="10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30</v>
      </c>
      <c r="V2678">
        <f t="shared" si="251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 s="8">
        <f t="shared" si="247"/>
        <v>126.48</v>
      </c>
      <c r="Q2679" s="10" t="s">
        <v>8317</v>
      </c>
      <c r="R2679" s="10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30</v>
      </c>
      <c r="V2679">
        <f t="shared" si="251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 s="8">
        <f t="shared" si="247"/>
        <v>550</v>
      </c>
      <c r="Q2680" s="10" t="s">
        <v>8317</v>
      </c>
      <c r="R2680" s="1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30</v>
      </c>
      <c r="V2680">
        <f t="shared" si="251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 s="8">
        <f t="shared" si="247"/>
        <v>44</v>
      </c>
      <c r="Q2681" s="10" t="s">
        <v>8317</v>
      </c>
      <c r="R2681" s="10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30</v>
      </c>
      <c r="V2681">
        <f t="shared" si="251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 s="8">
        <f t="shared" si="247"/>
        <v>69</v>
      </c>
      <c r="Q2682" s="10" t="s">
        <v>8317</v>
      </c>
      <c r="R2682" s="10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30</v>
      </c>
      <c r="V2682">
        <f t="shared" si="251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 s="8">
        <f t="shared" si="247"/>
        <v>27.5</v>
      </c>
      <c r="Q2683" s="10" t="s">
        <v>8334</v>
      </c>
      <c r="R2683" s="10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25</v>
      </c>
      <c r="V2683">
        <f t="shared" si="251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 s="8">
        <f t="shared" si="247"/>
        <v>84.9</v>
      </c>
      <c r="Q2684" s="10" t="s">
        <v>8334</v>
      </c>
      <c r="R2684" s="10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32</v>
      </c>
      <c r="V2684">
        <f t="shared" si="251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 s="8">
        <f t="shared" si="247"/>
        <v>12</v>
      </c>
      <c r="Q2685" s="10" t="s">
        <v>8334</v>
      </c>
      <c r="R2685" s="10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30</v>
      </c>
      <c r="V2685">
        <f t="shared" si="251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 s="8">
        <f t="shared" si="247"/>
        <v>200</v>
      </c>
      <c r="Q2686" s="10" t="s">
        <v>8334</v>
      </c>
      <c r="R2686" s="10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40</v>
      </c>
      <c r="V2686">
        <f t="shared" si="251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 s="8">
        <f t="shared" si="247"/>
        <v>10</v>
      </c>
      <c r="Q2687" s="10" t="s">
        <v>8334</v>
      </c>
      <c r="R2687" s="10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60</v>
      </c>
      <c r="V2687">
        <f t="shared" si="251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 s="8">
        <f t="shared" si="247"/>
        <v>0</v>
      </c>
      <c r="Q2688" s="10" t="s">
        <v>8334</v>
      </c>
      <c r="R2688" s="10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</v>
      </c>
      <c r="V2688">
        <f t="shared" si="251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 s="8">
        <f t="shared" si="247"/>
        <v>0</v>
      </c>
      <c r="Q2689" s="10" t="s">
        <v>8334</v>
      </c>
      <c r="R2689" s="10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30</v>
      </c>
      <c r="V2689">
        <f t="shared" si="251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ROUND((E2690/D2690)*100, 0)</f>
        <v>0</v>
      </c>
      <c r="P2690" s="8">
        <f t="shared" ref="P2690:P2753" si="253">IFERROR(ROUND(E2690/L2690, 2), 0)</f>
        <v>5.29</v>
      </c>
      <c r="Q2690" s="10" t="s">
        <v>8334</v>
      </c>
      <c r="R2690" s="10" t="s">
        <v>8335</v>
      </c>
      <c r="S2690" s="16">
        <f t="shared" ref="S2690:S2753" si="254">(J2690/60/60/24)+DATE(1970, 1, 1)</f>
        <v>42028.118865740747</v>
      </c>
      <c r="T2690" s="16">
        <f t="shared" ref="T2690:T2753" si="255">(I2690/60/60/24)+DATE(1970, 1, 1)</f>
        <v>42059.125</v>
      </c>
      <c r="U2690">
        <f t="shared" si="250"/>
        <v>31</v>
      </c>
      <c r="V2690">
        <f t="shared" si="251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 s="8">
        <f t="shared" si="253"/>
        <v>1</v>
      </c>
      <c r="Q2691" s="10" t="s">
        <v>8334</v>
      </c>
      <c r="R2691" s="10" t="s">
        <v>8335</v>
      </c>
      <c r="S2691" s="16">
        <f t="shared" si="254"/>
        <v>42551.961689814809</v>
      </c>
      <c r="T2691" s="16">
        <f t="shared" si="255"/>
        <v>42581.961689814809</v>
      </c>
      <c r="U2691">
        <f t="shared" ref="U2691:U2754" si="256">ROUND(T2691-S2691, 0)</f>
        <v>30</v>
      </c>
      <c r="V2691">
        <f t="shared" ref="V2691:V2754" si="257">YEAR($S2691)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 s="8">
        <f t="shared" si="253"/>
        <v>72.760000000000005</v>
      </c>
      <c r="Q2692" s="10" t="s">
        <v>8334</v>
      </c>
      <c r="R2692" s="10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45</v>
      </c>
      <c r="V2692">
        <f t="shared" si="257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 s="8">
        <f t="shared" si="253"/>
        <v>17.5</v>
      </c>
      <c r="Q2693" s="10" t="s">
        <v>8334</v>
      </c>
      <c r="R2693" s="10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45</v>
      </c>
      <c r="V2693">
        <f t="shared" si="257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 s="8">
        <f t="shared" si="253"/>
        <v>25</v>
      </c>
      <c r="Q2694" s="10" t="s">
        <v>8334</v>
      </c>
      <c r="R2694" s="10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30</v>
      </c>
      <c r="V2694">
        <f t="shared" si="257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 s="8">
        <f t="shared" si="253"/>
        <v>13.33</v>
      </c>
      <c r="Q2695" s="10" t="s">
        <v>8334</v>
      </c>
      <c r="R2695" s="10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30</v>
      </c>
      <c r="V2695">
        <f t="shared" si="257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 s="8">
        <f t="shared" si="253"/>
        <v>1</v>
      </c>
      <c r="Q2696" s="10" t="s">
        <v>8334</v>
      </c>
      <c r="R2696" s="10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30</v>
      </c>
      <c r="V2696">
        <f t="shared" si="257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 s="8">
        <f t="shared" si="253"/>
        <v>23.67</v>
      </c>
      <c r="Q2697" s="10" t="s">
        <v>8334</v>
      </c>
      <c r="R2697" s="10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60</v>
      </c>
      <c r="V2697">
        <f t="shared" si="257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 s="8">
        <f t="shared" si="253"/>
        <v>89.21</v>
      </c>
      <c r="Q2698" s="10" t="s">
        <v>8334</v>
      </c>
      <c r="R2698" s="10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34</v>
      </c>
      <c r="V2698">
        <f t="shared" si="257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 s="8">
        <f t="shared" si="253"/>
        <v>116.56</v>
      </c>
      <c r="Q2699" s="10" t="s">
        <v>8334</v>
      </c>
      <c r="R2699" s="10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31</v>
      </c>
      <c r="V2699">
        <f t="shared" si="257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 s="8">
        <f t="shared" si="253"/>
        <v>13.01</v>
      </c>
      <c r="Q2700" s="10" t="s">
        <v>8334</v>
      </c>
      <c r="R2700" s="1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30</v>
      </c>
      <c r="V2700">
        <f t="shared" si="257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 s="8">
        <f t="shared" si="253"/>
        <v>0</v>
      </c>
      <c r="Q2701" s="10" t="s">
        <v>8334</v>
      </c>
      <c r="R2701" s="10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30</v>
      </c>
      <c r="V2701">
        <f t="shared" si="257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 s="8">
        <f t="shared" si="253"/>
        <v>17.5</v>
      </c>
      <c r="Q2702" s="10" t="s">
        <v>8334</v>
      </c>
      <c r="R2702" s="10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30</v>
      </c>
      <c r="V2702">
        <f t="shared" si="257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 s="8">
        <f t="shared" si="253"/>
        <v>34.130000000000003</v>
      </c>
      <c r="Q2703" s="10" t="s">
        <v>8315</v>
      </c>
      <c r="R2703" s="10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31</v>
      </c>
      <c r="V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 s="8">
        <f t="shared" si="253"/>
        <v>132.35</v>
      </c>
      <c r="Q2704" s="10" t="s">
        <v>8315</v>
      </c>
      <c r="R2704" s="10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30</v>
      </c>
      <c r="V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 s="8">
        <f t="shared" si="253"/>
        <v>922.22</v>
      </c>
      <c r="Q2705" s="10" t="s">
        <v>8315</v>
      </c>
      <c r="R2705" s="10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60</v>
      </c>
      <c r="V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 s="8">
        <f t="shared" si="253"/>
        <v>163.57</v>
      </c>
      <c r="Q2706" s="10" t="s">
        <v>8315</v>
      </c>
      <c r="R2706" s="10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43</v>
      </c>
      <c r="V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 s="8">
        <f t="shared" si="253"/>
        <v>217.38</v>
      </c>
      <c r="Q2707" s="10" t="s">
        <v>8315</v>
      </c>
      <c r="R2707" s="10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45</v>
      </c>
      <c r="V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 s="8">
        <f t="shared" si="253"/>
        <v>149.44</v>
      </c>
      <c r="Q2708" s="10" t="s">
        <v>8315</v>
      </c>
      <c r="R2708" s="10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29</v>
      </c>
      <c r="V2708">
        <f t="shared" si="257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 s="8">
        <f t="shared" si="253"/>
        <v>71.239999999999995</v>
      </c>
      <c r="Q2709" s="10" t="s">
        <v>8315</v>
      </c>
      <c r="R2709" s="10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30</v>
      </c>
      <c r="V2709">
        <f t="shared" si="257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 s="8">
        <f t="shared" si="253"/>
        <v>44.46</v>
      </c>
      <c r="Q2710" s="10" t="s">
        <v>8315</v>
      </c>
      <c r="R2710" s="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60</v>
      </c>
      <c r="V2710">
        <f t="shared" si="257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 s="8">
        <f t="shared" si="253"/>
        <v>164.94</v>
      </c>
      <c r="Q2711" s="10" t="s">
        <v>8315</v>
      </c>
      <c r="R2711" s="10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35</v>
      </c>
      <c r="V2711">
        <f t="shared" si="257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 s="8">
        <f t="shared" si="253"/>
        <v>84.87</v>
      </c>
      <c r="Q2712" s="10" t="s">
        <v>8315</v>
      </c>
      <c r="R2712" s="10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32</v>
      </c>
      <c r="V2712">
        <f t="shared" si="257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 s="8">
        <f t="shared" si="253"/>
        <v>53.95</v>
      </c>
      <c r="Q2713" s="10" t="s">
        <v>8315</v>
      </c>
      <c r="R2713" s="10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30</v>
      </c>
      <c r="V2713">
        <f t="shared" si="257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 s="8">
        <f t="shared" si="253"/>
        <v>50.53</v>
      </c>
      <c r="Q2714" s="10" t="s">
        <v>8315</v>
      </c>
      <c r="R2714" s="10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37</v>
      </c>
      <c r="V2714">
        <f t="shared" si="257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 s="8">
        <f t="shared" si="253"/>
        <v>108</v>
      </c>
      <c r="Q2715" s="10" t="s">
        <v>8315</v>
      </c>
      <c r="R2715" s="10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40</v>
      </c>
      <c r="V2715">
        <f t="shared" si="257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 s="8">
        <f t="shared" si="253"/>
        <v>95.37</v>
      </c>
      <c r="Q2716" s="10" t="s">
        <v>8315</v>
      </c>
      <c r="R2716" s="10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28</v>
      </c>
      <c r="V2716">
        <f t="shared" si="257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 s="8">
        <f t="shared" si="253"/>
        <v>57.63</v>
      </c>
      <c r="Q2717" s="10" t="s">
        <v>8315</v>
      </c>
      <c r="R2717" s="10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34</v>
      </c>
      <c r="V2717">
        <f t="shared" si="257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 s="8">
        <f t="shared" si="253"/>
        <v>64.16</v>
      </c>
      <c r="Q2718" s="10" t="s">
        <v>8315</v>
      </c>
      <c r="R2718" s="10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30</v>
      </c>
      <c r="V2718">
        <f t="shared" si="257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 s="8">
        <f t="shared" si="253"/>
        <v>92.39</v>
      </c>
      <c r="Q2719" s="10" t="s">
        <v>8315</v>
      </c>
      <c r="R2719" s="10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45</v>
      </c>
      <c r="V2719">
        <f t="shared" si="257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 s="8">
        <f t="shared" si="253"/>
        <v>125.98</v>
      </c>
      <c r="Q2720" s="10" t="s">
        <v>8315</v>
      </c>
      <c r="R2720" s="1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28</v>
      </c>
      <c r="V2720">
        <f t="shared" si="257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 s="8">
        <f t="shared" si="253"/>
        <v>94.64</v>
      </c>
      <c r="Q2721" s="10" t="s">
        <v>8315</v>
      </c>
      <c r="R2721" s="10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60</v>
      </c>
      <c r="V2721">
        <f t="shared" si="257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 s="8">
        <f t="shared" si="253"/>
        <v>170.7</v>
      </c>
      <c r="Q2722" s="10" t="s">
        <v>8315</v>
      </c>
      <c r="R2722" s="10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30</v>
      </c>
      <c r="V2722">
        <f t="shared" si="257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 s="8">
        <f t="shared" si="253"/>
        <v>40.76</v>
      </c>
      <c r="Q2723" s="10" t="s">
        <v>8317</v>
      </c>
      <c r="R2723" s="10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30</v>
      </c>
      <c r="V2723">
        <f t="shared" si="257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 s="8">
        <f t="shared" si="253"/>
        <v>68.25</v>
      </c>
      <c r="Q2724" s="10" t="s">
        <v>8317</v>
      </c>
      <c r="R2724" s="10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60</v>
      </c>
      <c r="V2724">
        <f t="shared" si="257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 s="8">
        <f t="shared" si="253"/>
        <v>95.49</v>
      </c>
      <c r="Q2725" s="10" t="s">
        <v>8317</v>
      </c>
      <c r="R2725" s="10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60</v>
      </c>
      <c r="V2725">
        <f t="shared" si="257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 s="8">
        <f t="shared" si="253"/>
        <v>7.19</v>
      </c>
      <c r="Q2726" s="10" t="s">
        <v>8317</v>
      </c>
      <c r="R2726" s="10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32</v>
      </c>
      <c r="V2726">
        <f t="shared" si="257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 s="8">
        <f t="shared" si="253"/>
        <v>511.65</v>
      </c>
      <c r="Q2727" s="10" t="s">
        <v>8317</v>
      </c>
      <c r="R2727" s="10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50</v>
      </c>
      <c r="V2727">
        <f t="shared" si="257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 s="8">
        <f t="shared" si="253"/>
        <v>261.75</v>
      </c>
      <c r="Q2728" s="10" t="s">
        <v>8317</v>
      </c>
      <c r="R2728" s="10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30</v>
      </c>
      <c r="V2728">
        <f t="shared" si="257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 s="8">
        <f t="shared" si="253"/>
        <v>69.760000000000005</v>
      </c>
      <c r="Q2729" s="10" t="s">
        <v>8317</v>
      </c>
      <c r="R2729" s="10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25</v>
      </c>
      <c r="V2729">
        <f t="shared" si="257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 s="8">
        <f t="shared" si="253"/>
        <v>77.23</v>
      </c>
      <c r="Q2730" s="10" t="s">
        <v>8317</v>
      </c>
      <c r="R2730" s="1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35</v>
      </c>
      <c r="V2730">
        <f t="shared" si="257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 s="8">
        <f t="shared" si="253"/>
        <v>340.57</v>
      </c>
      <c r="Q2731" s="10" t="s">
        <v>8317</v>
      </c>
      <c r="R2731" s="10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30</v>
      </c>
      <c r="V2731">
        <f t="shared" si="257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 s="8">
        <f t="shared" si="253"/>
        <v>67.42</v>
      </c>
      <c r="Q2732" s="10" t="s">
        <v>8317</v>
      </c>
      <c r="R2732" s="10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35</v>
      </c>
      <c r="V2732">
        <f t="shared" si="257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 s="8">
        <f t="shared" si="253"/>
        <v>845.7</v>
      </c>
      <c r="Q2733" s="10" t="s">
        <v>8317</v>
      </c>
      <c r="R2733" s="10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58</v>
      </c>
      <c r="V2733">
        <f t="shared" si="257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 s="8">
        <f t="shared" si="253"/>
        <v>97.19</v>
      </c>
      <c r="Q2734" s="10" t="s">
        <v>8317</v>
      </c>
      <c r="R2734" s="10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32</v>
      </c>
      <c r="V2734">
        <f t="shared" si="257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 s="8">
        <f t="shared" si="253"/>
        <v>451.84</v>
      </c>
      <c r="Q2735" s="10" t="s">
        <v>8317</v>
      </c>
      <c r="R2735" s="10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60</v>
      </c>
      <c r="V2735">
        <f t="shared" si="257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 s="8">
        <f t="shared" si="253"/>
        <v>138.66999999999999</v>
      </c>
      <c r="Q2736" s="10" t="s">
        <v>8317</v>
      </c>
      <c r="R2736" s="10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30</v>
      </c>
      <c r="V2736">
        <f t="shared" si="257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 s="8">
        <f t="shared" si="253"/>
        <v>21.64</v>
      </c>
      <c r="Q2737" s="10" t="s">
        <v>8317</v>
      </c>
      <c r="R2737" s="10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31</v>
      </c>
      <c r="V2737">
        <f t="shared" si="257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 s="8">
        <f t="shared" si="253"/>
        <v>169.52</v>
      </c>
      <c r="Q2738" s="10" t="s">
        <v>8317</v>
      </c>
      <c r="R2738" s="10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30</v>
      </c>
      <c r="V2738">
        <f t="shared" si="257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 s="8">
        <f t="shared" si="253"/>
        <v>161.88</v>
      </c>
      <c r="Q2739" s="10" t="s">
        <v>8317</v>
      </c>
      <c r="R2739" s="10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43</v>
      </c>
      <c r="V2739">
        <f t="shared" si="257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 s="8">
        <f t="shared" si="253"/>
        <v>493.13</v>
      </c>
      <c r="Q2740" s="10" t="s">
        <v>8317</v>
      </c>
      <c r="R2740" s="1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60</v>
      </c>
      <c r="V2740">
        <f t="shared" si="257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 s="8">
        <f t="shared" si="253"/>
        <v>22.12</v>
      </c>
      <c r="Q2741" s="10" t="s">
        <v>8317</v>
      </c>
      <c r="R2741" s="10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45</v>
      </c>
      <c r="V2741">
        <f t="shared" si="257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 s="8">
        <f t="shared" si="253"/>
        <v>18.239999999999998</v>
      </c>
      <c r="Q2742" s="10" t="s">
        <v>8317</v>
      </c>
      <c r="R2742" s="10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30</v>
      </c>
      <c r="V2742">
        <f t="shared" si="257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 s="8">
        <f t="shared" si="253"/>
        <v>8.75</v>
      </c>
      <c r="Q2743" s="10" t="s">
        <v>8320</v>
      </c>
      <c r="R2743" s="10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</v>
      </c>
      <c r="V2743">
        <f t="shared" si="257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 s="8">
        <f t="shared" si="253"/>
        <v>40.61</v>
      </c>
      <c r="Q2744" s="10" t="s">
        <v>8320</v>
      </c>
      <c r="R2744" s="10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14</v>
      </c>
      <c r="V2744">
        <f t="shared" si="257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 s="8">
        <f t="shared" si="253"/>
        <v>0</v>
      </c>
      <c r="Q2745" s="10" t="s">
        <v>8320</v>
      </c>
      <c r="R2745" s="10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30</v>
      </c>
      <c r="V2745">
        <f t="shared" si="257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 s="8">
        <f t="shared" si="253"/>
        <v>37.950000000000003</v>
      </c>
      <c r="Q2746" s="10" t="s">
        <v>8320</v>
      </c>
      <c r="R2746" s="10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30</v>
      </c>
      <c r="V2746">
        <f t="shared" si="257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 s="8">
        <f t="shared" si="253"/>
        <v>35.729999999999997</v>
      </c>
      <c r="Q2747" s="10" t="s">
        <v>8320</v>
      </c>
      <c r="R2747" s="10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60</v>
      </c>
      <c r="V2747">
        <f t="shared" si="257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 s="8">
        <f t="shared" si="253"/>
        <v>42.16</v>
      </c>
      <c r="Q2748" s="10" t="s">
        <v>8320</v>
      </c>
      <c r="R2748" s="10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30</v>
      </c>
      <c r="V2748">
        <f t="shared" si="257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 s="8">
        <f t="shared" si="253"/>
        <v>35</v>
      </c>
      <c r="Q2749" s="10" t="s">
        <v>8320</v>
      </c>
      <c r="R2749" s="10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31</v>
      </c>
      <c r="V2749">
        <f t="shared" si="257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 s="8">
        <f t="shared" si="253"/>
        <v>13.25</v>
      </c>
      <c r="Q2750" s="10" t="s">
        <v>8320</v>
      </c>
      <c r="R2750" s="1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30</v>
      </c>
      <c r="V2750">
        <f t="shared" si="257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 s="8">
        <f t="shared" si="253"/>
        <v>55</v>
      </c>
      <c r="Q2751" s="10" t="s">
        <v>8320</v>
      </c>
      <c r="R2751" s="10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30</v>
      </c>
      <c r="V2751">
        <f t="shared" si="257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 s="8">
        <f t="shared" si="253"/>
        <v>0</v>
      </c>
      <c r="Q2752" s="10" t="s">
        <v>8320</v>
      </c>
      <c r="R2752" s="10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12</v>
      </c>
      <c r="V2752">
        <f t="shared" si="257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 s="8">
        <f t="shared" si="253"/>
        <v>0</v>
      </c>
      <c r="Q2753" s="10" t="s">
        <v>8320</v>
      </c>
      <c r="R2753" s="10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60</v>
      </c>
      <c r="V2753">
        <f t="shared" si="257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ROUND((E2754/D2754)*100, 0)</f>
        <v>11</v>
      </c>
      <c r="P2754" s="8">
        <f t="shared" ref="P2754:P2817" si="259">IFERROR(ROUND(E2754/L2754, 2), 0)</f>
        <v>39.29</v>
      </c>
      <c r="Q2754" s="10" t="s">
        <v>8320</v>
      </c>
      <c r="R2754" s="10" t="s">
        <v>8356</v>
      </c>
      <c r="S2754" s="16">
        <f t="shared" ref="S2754:S2817" si="260">(J2754/60/60/24)+DATE(1970, 1, 1)</f>
        <v>40855.765092592592</v>
      </c>
      <c r="T2754" s="16">
        <f t="shared" ref="T2754:T2817" si="261">(I2754/60/60/24)+DATE(1970, 1, 1)</f>
        <v>40895.765092592592</v>
      </c>
      <c r="U2754">
        <f t="shared" si="256"/>
        <v>40</v>
      </c>
      <c r="V2754">
        <f t="shared" si="257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 s="8">
        <f t="shared" si="259"/>
        <v>47.5</v>
      </c>
      <c r="Q2755" s="10" t="s">
        <v>8320</v>
      </c>
      <c r="R2755" s="10" t="s">
        <v>8356</v>
      </c>
      <c r="S2755" s="16">
        <f t="shared" si="260"/>
        <v>41117.900729166664</v>
      </c>
      <c r="T2755" s="16">
        <f t="shared" si="261"/>
        <v>41147.900729166664</v>
      </c>
      <c r="U2755">
        <f t="shared" ref="U2755:U2818" si="262">ROUND(T2755-S2755, 0)</f>
        <v>30</v>
      </c>
      <c r="V2755">
        <f t="shared" ref="V2755:V2818" si="263">YEAR($S2755)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 s="8">
        <f t="shared" si="259"/>
        <v>0</v>
      </c>
      <c r="Q2756" s="10" t="s">
        <v>8320</v>
      </c>
      <c r="R2756" s="10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30</v>
      </c>
      <c r="V2756">
        <f t="shared" si="263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 s="8">
        <f t="shared" si="259"/>
        <v>17.329999999999998</v>
      </c>
      <c r="Q2757" s="10" t="s">
        <v>8320</v>
      </c>
      <c r="R2757" s="10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30</v>
      </c>
      <c r="V2757">
        <f t="shared" si="263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 s="8">
        <f t="shared" si="259"/>
        <v>31.76</v>
      </c>
      <c r="Q2758" s="10" t="s">
        <v>8320</v>
      </c>
      <c r="R2758" s="10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30</v>
      </c>
      <c r="V2758">
        <f t="shared" si="263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 s="8">
        <f t="shared" si="259"/>
        <v>5</v>
      </c>
      <c r="Q2759" s="10" t="s">
        <v>8320</v>
      </c>
      <c r="R2759" s="10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15</v>
      </c>
      <c r="V2759">
        <f t="shared" si="263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 s="8">
        <f t="shared" si="259"/>
        <v>39</v>
      </c>
      <c r="Q2760" s="10" t="s">
        <v>8320</v>
      </c>
      <c r="R2760" s="1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14</v>
      </c>
      <c r="V2760">
        <f t="shared" si="263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 s="8">
        <f t="shared" si="259"/>
        <v>52.5</v>
      </c>
      <c r="Q2761" s="10" t="s">
        <v>8320</v>
      </c>
      <c r="R2761" s="10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43</v>
      </c>
      <c r="V2761">
        <f t="shared" si="263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 s="8">
        <f t="shared" si="259"/>
        <v>0</v>
      </c>
      <c r="Q2762" s="10" t="s">
        <v>8320</v>
      </c>
      <c r="R2762" s="10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30</v>
      </c>
      <c r="V2762">
        <f t="shared" si="263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 s="8">
        <f t="shared" si="259"/>
        <v>9</v>
      </c>
      <c r="Q2763" s="10" t="s">
        <v>8320</v>
      </c>
      <c r="R2763" s="10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30</v>
      </c>
      <c r="V2763">
        <f t="shared" si="263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 s="8">
        <f t="shared" si="259"/>
        <v>25</v>
      </c>
      <c r="Q2764" s="10" t="s">
        <v>8320</v>
      </c>
      <c r="R2764" s="10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60</v>
      </c>
      <c r="V2764">
        <f t="shared" si="263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 s="8">
        <f t="shared" si="259"/>
        <v>30</v>
      </c>
      <c r="Q2765" s="10" t="s">
        <v>8320</v>
      </c>
      <c r="R2765" s="10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45</v>
      </c>
      <c r="V2765">
        <f t="shared" si="263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 s="8">
        <f t="shared" si="259"/>
        <v>11.25</v>
      </c>
      <c r="Q2766" s="10" t="s">
        <v>8320</v>
      </c>
      <c r="R2766" s="10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29</v>
      </c>
      <c r="V2766">
        <f t="shared" si="263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 s="8">
        <f t="shared" si="259"/>
        <v>0</v>
      </c>
      <c r="Q2767" s="10" t="s">
        <v>8320</v>
      </c>
      <c r="R2767" s="10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16</v>
      </c>
      <c r="V2767">
        <f t="shared" si="263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 s="8">
        <f t="shared" si="259"/>
        <v>25</v>
      </c>
      <c r="Q2768" s="10" t="s">
        <v>8320</v>
      </c>
      <c r="R2768" s="10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30</v>
      </c>
      <c r="V2768">
        <f t="shared" si="263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 s="8">
        <f t="shared" si="259"/>
        <v>11.33</v>
      </c>
      <c r="Q2769" s="10" t="s">
        <v>8320</v>
      </c>
      <c r="R2769" s="10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60</v>
      </c>
      <c r="V2769">
        <f t="shared" si="263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 s="8">
        <f t="shared" si="259"/>
        <v>29.47</v>
      </c>
      <c r="Q2770" s="10" t="s">
        <v>8320</v>
      </c>
      <c r="R2770" s="1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30</v>
      </c>
      <c r="V2770">
        <f t="shared" si="263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 s="8">
        <f t="shared" si="259"/>
        <v>1</v>
      </c>
      <c r="Q2771" s="10" t="s">
        <v>8320</v>
      </c>
      <c r="R2771" s="10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50</v>
      </c>
      <c r="V2771">
        <f t="shared" si="263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 s="8">
        <f t="shared" si="259"/>
        <v>63.1</v>
      </c>
      <c r="Q2772" s="10" t="s">
        <v>8320</v>
      </c>
      <c r="R2772" s="10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30</v>
      </c>
      <c r="V2772">
        <f t="shared" si="263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 s="8">
        <f t="shared" si="259"/>
        <v>0</v>
      </c>
      <c r="Q2773" s="10" t="s">
        <v>8320</v>
      </c>
      <c r="R2773" s="10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49</v>
      </c>
      <c r="V2773">
        <f t="shared" si="263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 s="8">
        <f t="shared" si="259"/>
        <v>0</v>
      </c>
      <c r="Q2774" s="10" t="s">
        <v>8320</v>
      </c>
      <c r="R2774" s="10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15</v>
      </c>
      <c r="V2774">
        <f t="shared" si="263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 s="8">
        <f t="shared" si="259"/>
        <v>1</v>
      </c>
      <c r="Q2775" s="10" t="s">
        <v>8320</v>
      </c>
      <c r="R2775" s="10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10</v>
      </c>
      <c r="V2775">
        <f t="shared" si="263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 s="8">
        <f t="shared" si="259"/>
        <v>43.85</v>
      </c>
      <c r="Q2776" s="10" t="s">
        <v>8320</v>
      </c>
      <c r="R2776" s="10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30</v>
      </c>
      <c r="V2776">
        <f t="shared" si="263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 s="8">
        <f t="shared" si="259"/>
        <v>75</v>
      </c>
      <c r="Q2777" s="10" t="s">
        <v>8320</v>
      </c>
      <c r="R2777" s="10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30</v>
      </c>
      <c r="V2777">
        <f t="shared" si="263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 s="8">
        <f t="shared" si="259"/>
        <v>45.97</v>
      </c>
      <c r="Q2778" s="10" t="s">
        <v>8320</v>
      </c>
      <c r="R2778" s="10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31</v>
      </c>
      <c r="V2778">
        <f t="shared" si="263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 s="8">
        <f t="shared" si="259"/>
        <v>10</v>
      </c>
      <c r="Q2779" s="10" t="s">
        <v>8320</v>
      </c>
      <c r="R2779" s="10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30</v>
      </c>
      <c r="V2779">
        <f t="shared" si="263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 s="8">
        <f t="shared" si="259"/>
        <v>93.67</v>
      </c>
      <c r="Q2780" s="10" t="s">
        <v>8320</v>
      </c>
      <c r="R2780" s="1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30</v>
      </c>
      <c r="V2780">
        <f t="shared" si="263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 s="8">
        <f t="shared" si="259"/>
        <v>53</v>
      </c>
      <c r="Q2781" s="10" t="s">
        <v>8320</v>
      </c>
      <c r="R2781" s="10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30</v>
      </c>
      <c r="V2781">
        <f t="shared" si="263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 s="8">
        <f t="shared" si="259"/>
        <v>0</v>
      </c>
      <c r="Q2782" s="10" t="s">
        <v>8320</v>
      </c>
      <c r="R2782" s="10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30</v>
      </c>
      <c r="V2782">
        <f t="shared" si="263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 s="8">
        <f t="shared" si="259"/>
        <v>47</v>
      </c>
      <c r="Q2783" s="10" t="s">
        <v>8315</v>
      </c>
      <c r="R2783" s="10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28</v>
      </c>
      <c r="V2783">
        <f t="shared" si="263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 s="8">
        <f t="shared" si="259"/>
        <v>66.67</v>
      </c>
      <c r="Q2784" s="10" t="s">
        <v>8315</v>
      </c>
      <c r="R2784" s="10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25</v>
      </c>
      <c r="V2784">
        <f t="shared" si="263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 s="8">
        <f t="shared" si="259"/>
        <v>18.77</v>
      </c>
      <c r="Q2785" s="10" t="s">
        <v>8315</v>
      </c>
      <c r="R2785" s="10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14</v>
      </c>
      <c r="V2785">
        <f t="shared" si="263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 s="8">
        <f t="shared" si="259"/>
        <v>66.11</v>
      </c>
      <c r="Q2786" s="10" t="s">
        <v>8315</v>
      </c>
      <c r="R2786" s="10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21</v>
      </c>
      <c r="V2786">
        <f t="shared" si="263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 s="8">
        <f t="shared" si="259"/>
        <v>36.86</v>
      </c>
      <c r="Q2787" s="10" t="s">
        <v>8315</v>
      </c>
      <c r="R2787" s="10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30</v>
      </c>
      <c r="V2787">
        <f t="shared" si="263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 s="8">
        <f t="shared" si="259"/>
        <v>39.81</v>
      </c>
      <c r="Q2788" s="10" t="s">
        <v>8315</v>
      </c>
      <c r="R2788" s="10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14</v>
      </c>
      <c r="V2788">
        <f t="shared" si="263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 s="8">
        <f t="shared" si="259"/>
        <v>31.5</v>
      </c>
      <c r="Q2789" s="10" t="s">
        <v>8315</v>
      </c>
      <c r="R2789" s="10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30</v>
      </c>
      <c r="V2789">
        <f t="shared" si="263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 s="8">
        <f t="shared" si="259"/>
        <v>102.5</v>
      </c>
      <c r="Q2790" s="10" t="s">
        <v>8315</v>
      </c>
      <c r="R2790" s="1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30</v>
      </c>
      <c r="V2790">
        <f t="shared" si="263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 s="8">
        <f t="shared" si="259"/>
        <v>126.46</v>
      </c>
      <c r="Q2791" s="10" t="s">
        <v>8315</v>
      </c>
      <c r="R2791" s="10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19</v>
      </c>
      <c r="V2791">
        <f t="shared" si="263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 s="8">
        <f t="shared" si="259"/>
        <v>47.88</v>
      </c>
      <c r="Q2792" s="10" t="s">
        <v>8315</v>
      </c>
      <c r="R2792" s="10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30</v>
      </c>
      <c r="V2792">
        <f t="shared" si="263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 s="8">
        <f t="shared" si="259"/>
        <v>73.209999999999994</v>
      </c>
      <c r="Q2793" s="10" t="s">
        <v>8315</v>
      </c>
      <c r="R2793" s="10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30</v>
      </c>
      <c r="V2793">
        <f t="shared" si="263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 s="8">
        <f t="shared" si="259"/>
        <v>89.67</v>
      </c>
      <c r="Q2794" s="10" t="s">
        <v>8315</v>
      </c>
      <c r="R2794" s="10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45</v>
      </c>
      <c r="V2794">
        <f t="shared" si="263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 s="8">
        <f t="shared" si="259"/>
        <v>151.46</v>
      </c>
      <c r="Q2795" s="10" t="s">
        <v>8315</v>
      </c>
      <c r="R2795" s="10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30</v>
      </c>
      <c r="V2795">
        <f t="shared" si="263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 s="8">
        <f t="shared" si="259"/>
        <v>25</v>
      </c>
      <c r="Q2796" s="10" t="s">
        <v>8315</v>
      </c>
      <c r="R2796" s="10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16</v>
      </c>
      <c r="V2796">
        <f t="shared" si="263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 s="8">
        <f t="shared" si="259"/>
        <v>36.5</v>
      </c>
      <c r="Q2797" s="10" t="s">
        <v>8315</v>
      </c>
      <c r="R2797" s="10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16</v>
      </c>
      <c r="V2797">
        <f t="shared" si="263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 s="8">
        <f t="shared" si="259"/>
        <v>44</v>
      </c>
      <c r="Q2798" s="10" t="s">
        <v>8315</v>
      </c>
      <c r="R2798" s="10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30</v>
      </c>
      <c r="V2798">
        <f t="shared" si="263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 s="8">
        <f t="shared" si="259"/>
        <v>87.36</v>
      </c>
      <c r="Q2799" s="10" t="s">
        <v>8315</v>
      </c>
      <c r="R2799" s="10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30</v>
      </c>
      <c r="V2799">
        <f t="shared" si="263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 s="8">
        <f t="shared" si="259"/>
        <v>36.47</v>
      </c>
      <c r="Q2800" s="10" t="s">
        <v>8315</v>
      </c>
      <c r="R2800" s="1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15</v>
      </c>
      <c r="V2800">
        <f t="shared" si="263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 s="8">
        <f t="shared" si="259"/>
        <v>44.86</v>
      </c>
      <c r="Q2801" s="10" t="s">
        <v>8315</v>
      </c>
      <c r="R2801" s="10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31</v>
      </c>
      <c r="V2801">
        <f t="shared" si="263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 s="8">
        <f t="shared" si="259"/>
        <v>42.9</v>
      </c>
      <c r="Q2802" s="10" t="s">
        <v>8315</v>
      </c>
      <c r="R2802" s="10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60</v>
      </c>
      <c r="V2802">
        <f t="shared" si="263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 s="8">
        <f t="shared" si="259"/>
        <v>51.23</v>
      </c>
      <c r="Q2803" s="10" t="s">
        <v>8315</v>
      </c>
      <c r="R2803" s="10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22</v>
      </c>
      <c r="V2803">
        <f t="shared" si="263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 s="8">
        <f t="shared" si="259"/>
        <v>33.94</v>
      </c>
      <c r="Q2804" s="10" t="s">
        <v>8315</v>
      </c>
      <c r="R2804" s="10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30</v>
      </c>
      <c r="V2804">
        <f t="shared" si="263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 s="8">
        <f t="shared" si="259"/>
        <v>90.74</v>
      </c>
      <c r="Q2805" s="10" t="s">
        <v>8315</v>
      </c>
      <c r="R2805" s="10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43</v>
      </c>
      <c r="V2805">
        <f t="shared" si="263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 s="8">
        <f t="shared" si="259"/>
        <v>50</v>
      </c>
      <c r="Q2806" s="10" t="s">
        <v>8315</v>
      </c>
      <c r="R2806" s="10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30</v>
      </c>
      <c r="V2806">
        <f t="shared" si="263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 s="8">
        <f t="shared" si="259"/>
        <v>24.44</v>
      </c>
      <c r="Q2807" s="10" t="s">
        <v>8315</v>
      </c>
      <c r="R2807" s="10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25</v>
      </c>
      <c r="V2807">
        <f t="shared" si="263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 s="8">
        <f t="shared" si="259"/>
        <v>44.25</v>
      </c>
      <c r="Q2808" s="10" t="s">
        <v>8315</v>
      </c>
      <c r="R2808" s="10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36</v>
      </c>
      <c r="V2808">
        <f t="shared" si="263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 s="8">
        <f t="shared" si="259"/>
        <v>67.739999999999995</v>
      </c>
      <c r="Q2809" s="10" t="s">
        <v>8315</v>
      </c>
      <c r="R2809" s="10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30</v>
      </c>
      <c r="V2809">
        <f t="shared" si="263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 s="8">
        <f t="shared" si="259"/>
        <v>65.38</v>
      </c>
      <c r="Q2810" s="10" t="s">
        <v>8315</v>
      </c>
      <c r="R2810" s="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30</v>
      </c>
      <c r="V2810">
        <f t="shared" si="263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 s="8">
        <f t="shared" si="259"/>
        <v>121.9</v>
      </c>
      <c r="Q2811" s="10" t="s">
        <v>8315</v>
      </c>
      <c r="R2811" s="10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8</v>
      </c>
      <c r="V2811">
        <f t="shared" si="263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 s="8">
        <f t="shared" si="259"/>
        <v>47.46</v>
      </c>
      <c r="Q2812" s="10" t="s">
        <v>8315</v>
      </c>
      <c r="R2812" s="10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32</v>
      </c>
      <c r="V2812">
        <f t="shared" si="263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 s="8">
        <f t="shared" si="259"/>
        <v>92.84</v>
      </c>
      <c r="Q2813" s="10" t="s">
        <v>8315</v>
      </c>
      <c r="R2813" s="10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30</v>
      </c>
      <c r="V2813">
        <f t="shared" si="263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 s="8">
        <f t="shared" si="259"/>
        <v>68.25</v>
      </c>
      <c r="Q2814" s="10" t="s">
        <v>8315</v>
      </c>
      <c r="R2814" s="10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45</v>
      </c>
      <c r="V2814">
        <f t="shared" si="263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 s="8">
        <f t="shared" si="259"/>
        <v>37.21</v>
      </c>
      <c r="Q2815" s="10" t="s">
        <v>8315</v>
      </c>
      <c r="R2815" s="10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25</v>
      </c>
      <c r="V2815">
        <f t="shared" si="263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 s="8">
        <f t="shared" si="259"/>
        <v>25.25</v>
      </c>
      <c r="Q2816" s="10" t="s">
        <v>8315</v>
      </c>
      <c r="R2816" s="10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30</v>
      </c>
      <c r="V2816">
        <f t="shared" si="263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 s="8">
        <f t="shared" si="259"/>
        <v>43.21</v>
      </c>
      <c r="Q2817" s="10" t="s">
        <v>8315</v>
      </c>
      <c r="R2817" s="10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30</v>
      </c>
      <c r="V2817">
        <f t="shared" si="263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ROUND((E2818/D2818)*100, 0)</f>
        <v>142</v>
      </c>
      <c r="P2818" s="8">
        <f t="shared" ref="P2818:P2881" si="265">IFERROR(ROUND(E2818/L2818, 2), 0)</f>
        <v>25.13</v>
      </c>
      <c r="Q2818" s="10" t="s">
        <v>8315</v>
      </c>
      <c r="R2818" s="10" t="s">
        <v>8316</v>
      </c>
      <c r="S2818" s="16">
        <f t="shared" ref="S2818:S2881" si="266">(J2818/60/60/24)+DATE(1970, 1, 1)</f>
        <v>42188.467499999999</v>
      </c>
      <c r="T2818" s="16">
        <f t="shared" ref="T2818:T2881" si="267">(I2818/60/60/24)+DATE(1970, 1, 1)</f>
        <v>42218.666666666672</v>
      </c>
      <c r="U2818">
        <f t="shared" si="262"/>
        <v>30</v>
      </c>
      <c r="V2818">
        <f t="shared" si="263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 s="8">
        <f t="shared" si="265"/>
        <v>23.64</v>
      </c>
      <c r="Q2819" s="10" t="s">
        <v>8315</v>
      </c>
      <c r="R2819" s="10" t="s">
        <v>8316</v>
      </c>
      <c r="S2819" s="16">
        <f t="shared" si="266"/>
        <v>42023.634976851856</v>
      </c>
      <c r="T2819" s="16">
        <f t="shared" si="267"/>
        <v>42063.634976851856</v>
      </c>
      <c r="U2819">
        <f t="shared" ref="U2819:U2882" si="268">ROUND(T2819-S2819, 0)</f>
        <v>40</v>
      </c>
      <c r="V2819">
        <f t="shared" ref="V2819:V2882" si="269">YEAR($S2819)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 s="8">
        <f t="shared" si="265"/>
        <v>103.95</v>
      </c>
      <c r="Q2820" s="10" t="s">
        <v>8315</v>
      </c>
      <c r="R2820" s="1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</v>
      </c>
      <c r="V2820">
        <f t="shared" si="26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 s="8">
        <f t="shared" si="265"/>
        <v>50.38</v>
      </c>
      <c r="Q2821" s="10" t="s">
        <v>8315</v>
      </c>
      <c r="R2821" s="10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30</v>
      </c>
      <c r="V2821">
        <f t="shared" si="26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 s="8">
        <f t="shared" si="265"/>
        <v>13.6</v>
      </c>
      <c r="Q2822" s="10" t="s">
        <v>8315</v>
      </c>
      <c r="R2822" s="10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24</v>
      </c>
      <c r="V2822">
        <f t="shared" si="269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 s="8">
        <f t="shared" si="265"/>
        <v>28.57</v>
      </c>
      <c r="Q2823" s="10" t="s">
        <v>8315</v>
      </c>
      <c r="R2823" s="10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30</v>
      </c>
      <c r="V2823">
        <f t="shared" si="269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 s="8">
        <f t="shared" si="265"/>
        <v>63.83</v>
      </c>
      <c r="Q2824" s="10" t="s">
        <v>8315</v>
      </c>
      <c r="R2824" s="10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30</v>
      </c>
      <c r="V2824">
        <f t="shared" si="269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 s="8">
        <f t="shared" si="265"/>
        <v>8.86</v>
      </c>
      <c r="Q2825" s="10" t="s">
        <v>8315</v>
      </c>
      <c r="R2825" s="10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28</v>
      </c>
      <c r="V2825">
        <f t="shared" si="269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 s="8">
        <f t="shared" si="265"/>
        <v>50.67</v>
      </c>
      <c r="Q2826" s="10" t="s">
        <v>8315</v>
      </c>
      <c r="R2826" s="10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32</v>
      </c>
      <c r="V2826">
        <f t="shared" si="269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 s="8">
        <f t="shared" si="265"/>
        <v>60.78</v>
      </c>
      <c r="Q2827" s="10" t="s">
        <v>8315</v>
      </c>
      <c r="R2827" s="10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30</v>
      </c>
      <c r="V2827">
        <f t="shared" si="269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 s="8">
        <f t="shared" si="265"/>
        <v>113.42</v>
      </c>
      <c r="Q2828" s="10" t="s">
        <v>8315</v>
      </c>
      <c r="R2828" s="10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24</v>
      </c>
      <c r="V2828">
        <f t="shared" si="269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 s="8">
        <f t="shared" si="265"/>
        <v>104.57</v>
      </c>
      <c r="Q2829" s="10" t="s">
        <v>8315</v>
      </c>
      <c r="R2829" s="10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30</v>
      </c>
      <c r="V2829">
        <f t="shared" si="26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 s="8">
        <f t="shared" si="265"/>
        <v>98.31</v>
      </c>
      <c r="Q2830" s="10" t="s">
        <v>8315</v>
      </c>
      <c r="R2830" s="1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26</v>
      </c>
      <c r="V2830">
        <f t="shared" si="26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 s="8">
        <f t="shared" si="265"/>
        <v>35.04</v>
      </c>
      <c r="Q2831" s="10" t="s">
        <v>8315</v>
      </c>
      <c r="R2831" s="10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28</v>
      </c>
      <c r="V2831">
        <f t="shared" si="26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 s="8">
        <f t="shared" si="265"/>
        <v>272.73</v>
      </c>
      <c r="Q2832" s="10" t="s">
        <v>8315</v>
      </c>
      <c r="R2832" s="10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12</v>
      </c>
      <c r="V2832">
        <f t="shared" si="269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 s="8">
        <f t="shared" si="265"/>
        <v>63.85</v>
      </c>
      <c r="Q2833" s="10" t="s">
        <v>8315</v>
      </c>
      <c r="R2833" s="10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30</v>
      </c>
      <c r="V2833">
        <f t="shared" si="26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 s="8">
        <f t="shared" si="265"/>
        <v>30.19</v>
      </c>
      <c r="Q2834" s="10" t="s">
        <v>8315</v>
      </c>
      <c r="R2834" s="10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28</v>
      </c>
      <c r="V2834">
        <f t="shared" si="26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 s="8">
        <f t="shared" si="265"/>
        <v>83.51</v>
      </c>
      <c r="Q2835" s="10" t="s">
        <v>8315</v>
      </c>
      <c r="R2835" s="10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20</v>
      </c>
      <c r="V2835">
        <f t="shared" si="26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 s="8">
        <f t="shared" si="265"/>
        <v>64.760000000000005</v>
      </c>
      <c r="Q2836" s="10" t="s">
        <v>8315</v>
      </c>
      <c r="R2836" s="10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15</v>
      </c>
      <c r="V2836">
        <f t="shared" si="26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 s="8">
        <f t="shared" si="265"/>
        <v>20.12</v>
      </c>
      <c r="Q2837" s="10" t="s">
        <v>8315</v>
      </c>
      <c r="R2837" s="10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29</v>
      </c>
      <c r="V2837">
        <f t="shared" si="269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 s="8">
        <f t="shared" si="265"/>
        <v>44.09</v>
      </c>
      <c r="Q2838" s="10" t="s">
        <v>8315</v>
      </c>
      <c r="R2838" s="10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38</v>
      </c>
      <c r="V2838">
        <f t="shared" si="269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 s="8">
        <f t="shared" si="265"/>
        <v>40.479999999999997</v>
      </c>
      <c r="Q2839" s="10" t="s">
        <v>8315</v>
      </c>
      <c r="R2839" s="10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40</v>
      </c>
      <c r="V2839">
        <f t="shared" si="26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 s="8">
        <f t="shared" si="265"/>
        <v>44.54</v>
      </c>
      <c r="Q2840" s="10" t="s">
        <v>8315</v>
      </c>
      <c r="R2840" s="1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22</v>
      </c>
      <c r="V2840">
        <f t="shared" si="26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 s="8">
        <f t="shared" si="265"/>
        <v>125.81</v>
      </c>
      <c r="Q2841" s="10" t="s">
        <v>8315</v>
      </c>
      <c r="R2841" s="10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23</v>
      </c>
      <c r="V2841">
        <f t="shared" si="269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 s="8">
        <f t="shared" si="265"/>
        <v>19.7</v>
      </c>
      <c r="Q2842" s="10" t="s">
        <v>8315</v>
      </c>
      <c r="R2842" s="10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22</v>
      </c>
      <c r="V2842">
        <f t="shared" si="26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 s="8">
        <f t="shared" si="265"/>
        <v>10</v>
      </c>
      <c r="Q2843" s="10" t="s">
        <v>8315</v>
      </c>
      <c r="R2843" s="10" t="s">
        <v>8316</v>
      </c>
      <c r="S2843" s="16">
        <f t="shared" si="266"/>
        <v>42291.739548611105</v>
      </c>
      <c r="T2843" s="16">
        <f t="shared" si="267"/>
        <v>42351.781215277777</v>
      </c>
      <c r="U2843">
        <f t="shared" si="268"/>
        <v>60</v>
      </c>
      <c r="V2843">
        <f t="shared" si="26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s="8">
        <f t="shared" si="265"/>
        <v>0</v>
      </c>
      <c r="Q2844" s="10" t="s">
        <v>8315</v>
      </c>
      <c r="R2844" s="10" t="s">
        <v>8316</v>
      </c>
      <c r="S2844" s="16">
        <f t="shared" si="266"/>
        <v>41784.952488425923</v>
      </c>
      <c r="T2844" s="16">
        <f t="shared" si="267"/>
        <v>41811.458333333336</v>
      </c>
      <c r="U2844">
        <f t="shared" si="268"/>
        <v>27</v>
      </c>
      <c r="V2844">
        <f t="shared" si="26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s="8">
        <f t="shared" si="265"/>
        <v>0</v>
      </c>
      <c r="Q2845" s="10" t="s">
        <v>8315</v>
      </c>
      <c r="R2845" s="10" t="s">
        <v>8316</v>
      </c>
      <c r="S2845" s="16">
        <f t="shared" si="266"/>
        <v>42492.737847222219</v>
      </c>
      <c r="T2845" s="16">
        <f t="shared" si="267"/>
        <v>42534.166666666672</v>
      </c>
      <c r="U2845">
        <f t="shared" si="268"/>
        <v>41</v>
      </c>
      <c r="V2845">
        <f t="shared" si="26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 s="8">
        <f t="shared" si="265"/>
        <v>30</v>
      </c>
      <c r="Q2846" s="10" t="s">
        <v>8315</v>
      </c>
      <c r="R2846" s="10" t="s">
        <v>8316</v>
      </c>
      <c r="S2846" s="16">
        <f t="shared" si="266"/>
        <v>42709.546064814815</v>
      </c>
      <c r="T2846" s="16">
        <f t="shared" si="267"/>
        <v>42739.546064814815</v>
      </c>
      <c r="U2846">
        <f t="shared" si="268"/>
        <v>30</v>
      </c>
      <c r="V2846">
        <f t="shared" si="269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 s="8">
        <f t="shared" si="265"/>
        <v>60.67</v>
      </c>
      <c r="Q2847" s="10" t="s">
        <v>8315</v>
      </c>
      <c r="R2847" s="10" t="s">
        <v>8316</v>
      </c>
      <c r="S2847" s="16">
        <f t="shared" si="266"/>
        <v>42103.016585648147</v>
      </c>
      <c r="T2847" s="16">
        <f t="shared" si="267"/>
        <v>42163.016585648147</v>
      </c>
      <c r="U2847">
        <f t="shared" si="268"/>
        <v>60</v>
      </c>
      <c r="V2847">
        <f t="shared" si="269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s="8">
        <f t="shared" si="265"/>
        <v>0</v>
      </c>
      <c r="Q2848" s="10" t="s">
        <v>8315</v>
      </c>
      <c r="R2848" s="10" t="s">
        <v>8316</v>
      </c>
      <c r="S2848" s="16">
        <f t="shared" si="266"/>
        <v>42108.692060185189</v>
      </c>
      <c r="T2848" s="16">
        <f t="shared" si="267"/>
        <v>42153.692060185189</v>
      </c>
      <c r="U2848">
        <f t="shared" si="268"/>
        <v>45</v>
      </c>
      <c r="V2848">
        <f t="shared" si="26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s="8">
        <f t="shared" si="265"/>
        <v>0</v>
      </c>
      <c r="Q2849" s="10" t="s">
        <v>8315</v>
      </c>
      <c r="R2849" s="10" t="s">
        <v>8316</v>
      </c>
      <c r="S2849" s="16">
        <f t="shared" si="266"/>
        <v>42453.806307870371</v>
      </c>
      <c r="T2849" s="16">
        <f t="shared" si="267"/>
        <v>42513.806307870371</v>
      </c>
      <c r="U2849">
        <f t="shared" si="268"/>
        <v>60</v>
      </c>
      <c r="V2849">
        <f t="shared" si="269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 s="8">
        <f t="shared" si="265"/>
        <v>23.33</v>
      </c>
      <c r="Q2850" s="10" t="s">
        <v>8315</v>
      </c>
      <c r="R2850" s="10" t="s">
        <v>8316</v>
      </c>
      <c r="S2850" s="16">
        <f t="shared" si="266"/>
        <v>42123.648831018523</v>
      </c>
      <c r="T2850" s="16">
        <f t="shared" si="267"/>
        <v>42153.648831018523</v>
      </c>
      <c r="U2850">
        <f t="shared" si="268"/>
        <v>30</v>
      </c>
      <c r="V2850">
        <f t="shared" si="26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 s="8">
        <f t="shared" si="265"/>
        <v>5</v>
      </c>
      <c r="Q2851" s="10" t="s">
        <v>8315</v>
      </c>
      <c r="R2851" s="10" t="s">
        <v>8316</v>
      </c>
      <c r="S2851" s="16">
        <f t="shared" si="266"/>
        <v>42453.428240740745</v>
      </c>
      <c r="T2851" s="16">
        <f t="shared" si="267"/>
        <v>42483.428240740745</v>
      </c>
      <c r="U2851">
        <f t="shared" si="268"/>
        <v>30</v>
      </c>
      <c r="V2851">
        <f t="shared" si="26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 s="8">
        <f t="shared" si="265"/>
        <v>23.92</v>
      </c>
      <c r="Q2852" s="10" t="s">
        <v>8315</v>
      </c>
      <c r="R2852" s="10" t="s">
        <v>8316</v>
      </c>
      <c r="S2852" s="16">
        <f t="shared" si="266"/>
        <v>41858.007071759261</v>
      </c>
      <c r="T2852" s="16">
        <f t="shared" si="267"/>
        <v>41888.007071759261</v>
      </c>
      <c r="U2852">
        <f t="shared" si="268"/>
        <v>30</v>
      </c>
      <c r="V2852">
        <f t="shared" si="26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s="8">
        <f t="shared" si="265"/>
        <v>0</v>
      </c>
      <c r="Q2853" s="10" t="s">
        <v>8315</v>
      </c>
      <c r="R2853" s="10" t="s">
        <v>8316</v>
      </c>
      <c r="S2853" s="16">
        <f t="shared" si="266"/>
        <v>42390.002650462964</v>
      </c>
      <c r="T2853" s="16">
        <f t="shared" si="267"/>
        <v>42398.970138888893</v>
      </c>
      <c r="U2853">
        <f t="shared" si="268"/>
        <v>9</v>
      </c>
      <c r="V2853">
        <f t="shared" si="26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 s="8">
        <f t="shared" si="265"/>
        <v>15.83</v>
      </c>
      <c r="Q2854" s="10" t="s">
        <v>8315</v>
      </c>
      <c r="R2854" s="10" t="s">
        <v>8316</v>
      </c>
      <c r="S2854" s="16">
        <f t="shared" si="266"/>
        <v>41781.045173611114</v>
      </c>
      <c r="T2854" s="16">
        <f t="shared" si="267"/>
        <v>41811.045173611114</v>
      </c>
      <c r="U2854">
        <f t="shared" si="268"/>
        <v>30</v>
      </c>
      <c r="V2854">
        <f t="shared" si="26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s="8">
        <f t="shared" si="265"/>
        <v>0</v>
      </c>
      <c r="Q2855" s="10" t="s">
        <v>8315</v>
      </c>
      <c r="R2855" s="10" t="s">
        <v>8316</v>
      </c>
      <c r="S2855" s="16">
        <f t="shared" si="266"/>
        <v>41836.190937499996</v>
      </c>
      <c r="T2855" s="16">
        <f t="shared" si="267"/>
        <v>41896.190937499996</v>
      </c>
      <c r="U2855">
        <f t="shared" si="268"/>
        <v>60</v>
      </c>
      <c r="V2855">
        <f t="shared" si="269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 s="8">
        <f t="shared" si="265"/>
        <v>29.79</v>
      </c>
      <c r="Q2856" s="10" t="s">
        <v>8315</v>
      </c>
      <c r="R2856" s="10" t="s">
        <v>8316</v>
      </c>
      <c r="S2856" s="16">
        <f t="shared" si="266"/>
        <v>42111.71665509259</v>
      </c>
      <c r="T2856" s="16">
        <f t="shared" si="267"/>
        <v>42131.71665509259</v>
      </c>
      <c r="U2856">
        <f t="shared" si="268"/>
        <v>20</v>
      </c>
      <c r="V2856">
        <f t="shared" si="269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 s="8">
        <f t="shared" si="265"/>
        <v>60</v>
      </c>
      <c r="Q2857" s="10" t="s">
        <v>8315</v>
      </c>
      <c r="R2857" s="10" t="s">
        <v>8316</v>
      </c>
      <c r="S2857" s="16">
        <f t="shared" si="266"/>
        <v>42370.007766203707</v>
      </c>
      <c r="T2857" s="16">
        <f t="shared" si="267"/>
        <v>42398.981944444444</v>
      </c>
      <c r="U2857">
        <f t="shared" si="268"/>
        <v>29</v>
      </c>
      <c r="V2857">
        <f t="shared" si="269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 s="8">
        <f t="shared" si="265"/>
        <v>24.33</v>
      </c>
      <c r="Q2858" s="10" t="s">
        <v>8315</v>
      </c>
      <c r="R2858" s="10" t="s">
        <v>8316</v>
      </c>
      <c r="S2858" s="16">
        <f t="shared" si="266"/>
        <v>42165.037581018521</v>
      </c>
      <c r="T2858" s="16">
        <f t="shared" si="267"/>
        <v>42224.898611111115</v>
      </c>
      <c r="U2858">
        <f t="shared" si="268"/>
        <v>60</v>
      </c>
      <c r="V2858">
        <f t="shared" si="269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 s="8">
        <f t="shared" si="265"/>
        <v>500</v>
      </c>
      <c r="Q2859" s="10" t="s">
        <v>8315</v>
      </c>
      <c r="R2859" s="10" t="s">
        <v>8316</v>
      </c>
      <c r="S2859" s="16">
        <f t="shared" si="266"/>
        <v>42726.920081018514</v>
      </c>
      <c r="T2859" s="16">
        <f t="shared" si="267"/>
        <v>42786.75</v>
      </c>
      <c r="U2859">
        <f t="shared" si="268"/>
        <v>60</v>
      </c>
      <c r="V2859">
        <f t="shared" si="269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s="8">
        <f t="shared" si="265"/>
        <v>0</v>
      </c>
      <c r="Q2860" s="10" t="s">
        <v>8315</v>
      </c>
      <c r="R2860" s="10" t="s">
        <v>8316</v>
      </c>
      <c r="S2860" s="16">
        <f t="shared" si="266"/>
        <v>41954.545081018514</v>
      </c>
      <c r="T2860" s="16">
        <f t="shared" si="267"/>
        <v>41978.477777777778</v>
      </c>
      <c r="U2860">
        <f t="shared" si="268"/>
        <v>24</v>
      </c>
      <c r="V2860">
        <f t="shared" si="269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 s="8">
        <f t="shared" si="265"/>
        <v>35</v>
      </c>
      <c r="Q2861" s="10" t="s">
        <v>8315</v>
      </c>
      <c r="R2861" s="10" t="s">
        <v>8316</v>
      </c>
      <c r="S2861" s="16">
        <f t="shared" si="266"/>
        <v>42233.362314814818</v>
      </c>
      <c r="T2861" s="16">
        <f t="shared" si="267"/>
        <v>42293.362314814818</v>
      </c>
      <c r="U2861">
        <f t="shared" si="268"/>
        <v>60</v>
      </c>
      <c r="V2861">
        <f t="shared" si="269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 s="8">
        <f t="shared" si="265"/>
        <v>29.56</v>
      </c>
      <c r="Q2862" s="10" t="s">
        <v>8315</v>
      </c>
      <c r="R2862" s="10" t="s">
        <v>8316</v>
      </c>
      <c r="S2862" s="16">
        <f t="shared" si="266"/>
        <v>42480.800648148142</v>
      </c>
      <c r="T2862" s="16">
        <f t="shared" si="267"/>
        <v>42540.800648148142</v>
      </c>
      <c r="U2862">
        <f t="shared" si="268"/>
        <v>60</v>
      </c>
      <c r="V2862">
        <f t="shared" si="26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 s="8">
        <f t="shared" si="265"/>
        <v>26.67</v>
      </c>
      <c r="Q2863" s="10" t="s">
        <v>8315</v>
      </c>
      <c r="R2863" s="10" t="s">
        <v>8316</v>
      </c>
      <c r="S2863" s="16">
        <f t="shared" si="266"/>
        <v>42257.590833333335</v>
      </c>
      <c r="T2863" s="16">
        <f t="shared" si="267"/>
        <v>42271.590833333335</v>
      </c>
      <c r="U2863">
        <f t="shared" si="268"/>
        <v>14</v>
      </c>
      <c r="V2863">
        <f t="shared" si="26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 s="8">
        <f t="shared" si="265"/>
        <v>18.329999999999998</v>
      </c>
      <c r="Q2864" s="10" t="s">
        <v>8315</v>
      </c>
      <c r="R2864" s="10" t="s">
        <v>8316</v>
      </c>
      <c r="S2864" s="16">
        <f t="shared" si="266"/>
        <v>41784.789687500001</v>
      </c>
      <c r="T2864" s="16">
        <f t="shared" si="267"/>
        <v>41814.789687500001</v>
      </c>
      <c r="U2864">
        <f t="shared" si="268"/>
        <v>30</v>
      </c>
      <c r="V2864">
        <f t="shared" si="26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 s="8">
        <f t="shared" si="265"/>
        <v>20</v>
      </c>
      <c r="Q2865" s="10" t="s">
        <v>8315</v>
      </c>
      <c r="R2865" s="10" t="s">
        <v>8316</v>
      </c>
      <c r="S2865" s="16">
        <f t="shared" si="266"/>
        <v>41831.675034722226</v>
      </c>
      <c r="T2865" s="16">
        <f t="shared" si="267"/>
        <v>41891.675034722226</v>
      </c>
      <c r="U2865">
        <f t="shared" si="268"/>
        <v>60</v>
      </c>
      <c r="V2865">
        <f t="shared" si="26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 s="8">
        <f t="shared" si="265"/>
        <v>13.33</v>
      </c>
      <c r="Q2866" s="10" t="s">
        <v>8315</v>
      </c>
      <c r="R2866" s="10" t="s">
        <v>8316</v>
      </c>
      <c r="S2866" s="16">
        <f t="shared" si="266"/>
        <v>42172.613506944443</v>
      </c>
      <c r="T2866" s="16">
        <f t="shared" si="267"/>
        <v>42202.554166666669</v>
      </c>
      <c r="U2866">
        <f t="shared" si="268"/>
        <v>30</v>
      </c>
      <c r="V2866">
        <f t="shared" si="26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s="8">
        <f t="shared" si="265"/>
        <v>0</v>
      </c>
      <c r="Q2867" s="10" t="s">
        <v>8315</v>
      </c>
      <c r="R2867" s="10" t="s">
        <v>8316</v>
      </c>
      <c r="S2867" s="16">
        <f t="shared" si="266"/>
        <v>41950.114108796297</v>
      </c>
      <c r="T2867" s="16">
        <f t="shared" si="267"/>
        <v>42010.114108796297</v>
      </c>
      <c r="U2867">
        <f t="shared" si="268"/>
        <v>60</v>
      </c>
      <c r="V2867">
        <f t="shared" si="269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 s="8">
        <f t="shared" si="265"/>
        <v>22.5</v>
      </c>
      <c r="Q2868" s="10" t="s">
        <v>8315</v>
      </c>
      <c r="R2868" s="10" t="s">
        <v>8316</v>
      </c>
      <c r="S2868" s="16">
        <f t="shared" si="266"/>
        <v>42627.955104166671</v>
      </c>
      <c r="T2868" s="16">
        <f t="shared" si="267"/>
        <v>42657.916666666672</v>
      </c>
      <c r="U2868">
        <f t="shared" si="268"/>
        <v>30</v>
      </c>
      <c r="V2868">
        <f t="shared" si="269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 s="8">
        <f t="shared" si="265"/>
        <v>50.4</v>
      </c>
      <c r="Q2869" s="10" t="s">
        <v>8315</v>
      </c>
      <c r="R2869" s="10" t="s">
        <v>8316</v>
      </c>
      <c r="S2869" s="16">
        <f t="shared" si="266"/>
        <v>42531.195277777777</v>
      </c>
      <c r="T2869" s="16">
        <f t="shared" si="267"/>
        <v>42555.166666666672</v>
      </c>
      <c r="U2869">
        <f t="shared" si="268"/>
        <v>24</v>
      </c>
      <c r="V2869">
        <f t="shared" si="269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 s="8">
        <f t="shared" si="265"/>
        <v>105.03</v>
      </c>
      <c r="Q2870" s="10" t="s">
        <v>8315</v>
      </c>
      <c r="R2870" s="10" t="s">
        <v>8316</v>
      </c>
      <c r="S2870" s="16">
        <f t="shared" si="266"/>
        <v>42618.827013888891</v>
      </c>
      <c r="T2870" s="16">
        <f t="shared" si="267"/>
        <v>42648.827013888891</v>
      </c>
      <c r="U2870">
        <f t="shared" si="268"/>
        <v>30</v>
      </c>
      <c r="V2870">
        <f t="shared" si="269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 s="8">
        <f t="shared" si="265"/>
        <v>35.4</v>
      </c>
      <c r="Q2871" s="10" t="s">
        <v>8315</v>
      </c>
      <c r="R2871" s="10" t="s">
        <v>8316</v>
      </c>
      <c r="S2871" s="16">
        <f t="shared" si="266"/>
        <v>42540.593530092592</v>
      </c>
      <c r="T2871" s="16">
        <f t="shared" si="267"/>
        <v>42570.593530092592</v>
      </c>
      <c r="U2871">
        <f t="shared" si="268"/>
        <v>30</v>
      </c>
      <c r="V2871">
        <f t="shared" si="269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 s="8">
        <f t="shared" si="265"/>
        <v>83.33</v>
      </c>
      <c r="Q2872" s="10" t="s">
        <v>8315</v>
      </c>
      <c r="R2872" s="10" t="s">
        <v>8316</v>
      </c>
      <c r="S2872" s="16">
        <f t="shared" si="266"/>
        <v>41746.189409722225</v>
      </c>
      <c r="T2872" s="16">
        <f t="shared" si="267"/>
        <v>41776.189409722225</v>
      </c>
      <c r="U2872">
        <f t="shared" si="268"/>
        <v>30</v>
      </c>
      <c r="V2872">
        <f t="shared" si="26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 s="8">
        <f t="shared" si="265"/>
        <v>35.92</v>
      </c>
      <c r="Q2873" s="10" t="s">
        <v>8315</v>
      </c>
      <c r="R2873" s="10" t="s">
        <v>8316</v>
      </c>
      <c r="S2873" s="16">
        <f t="shared" si="266"/>
        <v>41974.738576388889</v>
      </c>
      <c r="T2873" s="16">
        <f t="shared" si="267"/>
        <v>41994.738576388889</v>
      </c>
      <c r="U2873">
        <f t="shared" si="268"/>
        <v>20</v>
      </c>
      <c r="V2873">
        <f t="shared" si="269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s="8">
        <f t="shared" si="265"/>
        <v>0</v>
      </c>
      <c r="Q2874" s="10" t="s">
        <v>8315</v>
      </c>
      <c r="R2874" s="10" t="s">
        <v>8316</v>
      </c>
      <c r="S2874" s="16">
        <f t="shared" si="266"/>
        <v>42115.11618055556</v>
      </c>
      <c r="T2874" s="16">
        <f t="shared" si="267"/>
        <v>42175.11618055556</v>
      </c>
      <c r="U2874">
        <f t="shared" si="268"/>
        <v>60</v>
      </c>
      <c r="V2874">
        <f t="shared" si="269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 s="8">
        <f t="shared" si="265"/>
        <v>119.13</v>
      </c>
      <c r="Q2875" s="10" t="s">
        <v>8315</v>
      </c>
      <c r="R2875" s="10" t="s">
        <v>8316</v>
      </c>
      <c r="S2875" s="16">
        <f t="shared" si="266"/>
        <v>42002.817488425921</v>
      </c>
      <c r="T2875" s="16">
        <f t="shared" si="267"/>
        <v>42032.817488425921</v>
      </c>
      <c r="U2875">
        <f t="shared" si="268"/>
        <v>30</v>
      </c>
      <c r="V2875">
        <f t="shared" si="269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 s="8">
        <f t="shared" si="265"/>
        <v>90.33</v>
      </c>
      <c r="Q2876" s="10" t="s">
        <v>8315</v>
      </c>
      <c r="R2876" s="10" t="s">
        <v>8316</v>
      </c>
      <c r="S2876" s="16">
        <f t="shared" si="266"/>
        <v>42722.84474537037</v>
      </c>
      <c r="T2876" s="16">
        <f t="shared" si="267"/>
        <v>42752.84474537037</v>
      </c>
      <c r="U2876">
        <f t="shared" si="268"/>
        <v>30</v>
      </c>
      <c r="V2876">
        <f t="shared" si="269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 s="8">
        <f t="shared" si="265"/>
        <v>2.33</v>
      </c>
      <c r="Q2877" s="10" t="s">
        <v>8315</v>
      </c>
      <c r="R2877" s="10" t="s">
        <v>8316</v>
      </c>
      <c r="S2877" s="16">
        <f t="shared" si="266"/>
        <v>42465.128391203703</v>
      </c>
      <c r="T2877" s="16">
        <f t="shared" si="267"/>
        <v>42495.128391203703</v>
      </c>
      <c r="U2877">
        <f t="shared" si="268"/>
        <v>30</v>
      </c>
      <c r="V2877">
        <f t="shared" si="26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s="8">
        <f t="shared" si="265"/>
        <v>0</v>
      </c>
      <c r="Q2878" s="10" t="s">
        <v>8315</v>
      </c>
      <c r="R2878" s="10" t="s">
        <v>8316</v>
      </c>
      <c r="S2878" s="16">
        <f t="shared" si="266"/>
        <v>42171.743969907402</v>
      </c>
      <c r="T2878" s="16">
        <f t="shared" si="267"/>
        <v>42201.743969907402</v>
      </c>
      <c r="U2878">
        <f t="shared" si="268"/>
        <v>30</v>
      </c>
      <c r="V2878">
        <f t="shared" si="26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 s="8">
        <f t="shared" si="265"/>
        <v>108.33</v>
      </c>
      <c r="Q2879" s="10" t="s">
        <v>8315</v>
      </c>
      <c r="R2879" s="10" t="s">
        <v>8316</v>
      </c>
      <c r="S2879" s="16">
        <f t="shared" si="266"/>
        <v>42672.955138888887</v>
      </c>
      <c r="T2879" s="16">
        <f t="shared" si="267"/>
        <v>42704.708333333328</v>
      </c>
      <c r="U2879">
        <f t="shared" si="268"/>
        <v>32</v>
      </c>
      <c r="V2879">
        <f t="shared" si="26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 s="8">
        <f t="shared" si="265"/>
        <v>15.75</v>
      </c>
      <c r="Q2880" s="10" t="s">
        <v>8315</v>
      </c>
      <c r="R2880" s="10" t="s">
        <v>8316</v>
      </c>
      <c r="S2880" s="16">
        <f t="shared" si="266"/>
        <v>42128.615682870368</v>
      </c>
      <c r="T2880" s="16">
        <f t="shared" si="267"/>
        <v>42188.615682870368</v>
      </c>
      <c r="U2880">
        <f t="shared" si="268"/>
        <v>60</v>
      </c>
      <c r="V2880">
        <f t="shared" si="269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 s="8">
        <f t="shared" si="265"/>
        <v>29</v>
      </c>
      <c r="Q2881" s="10" t="s">
        <v>8315</v>
      </c>
      <c r="R2881" s="10" t="s">
        <v>8316</v>
      </c>
      <c r="S2881" s="16">
        <f t="shared" si="266"/>
        <v>42359.725243055553</v>
      </c>
      <c r="T2881" s="16">
        <f t="shared" si="267"/>
        <v>42389.725243055553</v>
      </c>
      <c r="U2881">
        <f t="shared" si="268"/>
        <v>30</v>
      </c>
      <c r="V2881">
        <f t="shared" si="269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ROUND((E2882/D2882)*100, 0)</f>
        <v>23</v>
      </c>
      <c r="P2882" s="8">
        <f t="shared" ref="P2882:P2945" si="271">IFERROR(ROUND(E2882/L2882, 2), 0)</f>
        <v>96.55</v>
      </c>
      <c r="Q2882" s="10" t="s">
        <v>8315</v>
      </c>
      <c r="R2882" s="10" t="s">
        <v>8316</v>
      </c>
      <c r="S2882" s="16">
        <f t="shared" ref="S2882:S2945" si="272">(J2882/60/60/24)+DATE(1970, 1, 1)</f>
        <v>42192.905694444446</v>
      </c>
      <c r="T2882" s="16">
        <f t="shared" ref="T2882:T2945" si="273">(I2882/60/60/24)+DATE(1970, 1, 1)</f>
        <v>42236.711805555555</v>
      </c>
      <c r="U2882">
        <f t="shared" si="268"/>
        <v>44</v>
      </c>
      <c r="V2882">
        <f t="shared" si="26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 s="8">
        <f t="shared" si="271"/>
        <v>0</v>
      </c>
      <c r="Q2883" s="10" t="s">
        <v>8315</v>
      </c>
      <c r="R2883" s="10" t="s">
        <v>8316</v>
      </c>
      <c r="S2883" s="16">
        <f t="shared" si="272"/>
        <v>41916.597638888888</v>
      </c>
      <c r="T2883" s="16">
        <f t="shared" si="273"/>
        <v>41976.639305555553</v>
      </c>
      <c r="U2883">
        <f t="shared" ref="U2883:U2946" si="274">ROUND(T2883-S2883, 0)</f>
        <v>60</v>
      </c>
      <c r="V2883">
        <f t="shared" ref="V2883:V2946" si="275">YEAR($S2883)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 s="8">
        <f t="shared" si="271"/>
        <v>63</v>
      </c>
      <c r="Q2884" s="10" t="s">
        <v>8315</v>
      </c>
      <c r="R2884" s="10" t="s">
        <v>8316</v>
      </c>
      <c r="S2884" s="16">
        <f t="shared" si="272"/>
        <v>42461.596273148149</v>
      </c>
      <c r="T2884" s="16">
        <f t="shared" si="273"/>
        <v>42491.596273148149</v>
      </c>
      <c r="U2884">
        <f t="shared" si="274"/>
        <v>30</v>
      </c>
      <c r="V2884">
        <f t="shared" si="275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 s="8">
        <f t="shared" si="271"/>
        <v>381.6</v>
      </c>
      <c r="Q2885" s="10" t="s">
        <v>8315</v>
      </c>
      <c r="R2885" s="10" t="s">
        <v>8316</v>
      </c>
      <c r="S2885" s="16">
        <f t="shared" si="272"/>
        <v>42370.90320601852</v>
      </c>
      <c r="T2885" s="16">
        <f t="shared" si="273"/>
        <v>42406.207638888889</v>
      </c>
      <c r="U2885">
        <f t="shared" si="274"/>
        <v>35</v>
      </c>
      <c r="V2885">
        <f t="shared" si="275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 s="8">
        <f t="shared" si="271"/>
        <v>46.25</v>
      </c>
      <c r="Q2886" s="10" t="s">
        <v>8315</v>
      </c>
      <c r="R2886" s="10" t="s">
        <v>8316</v>
      </c>
      <c r="S2886" s="16">
        <f t="shared" si="272"/>
        <v>41948.727256944447</v>
      </c>
      <c r="T2886" s="16">
        <f t="shared" si="273"/>
        <v>41978.727256944447</v>
      </c>
      <c r="U2886">
        <f t="shared" si="274"/>
        <v>30</v>
      </c>
      <c r="V2886">
        <f t="shared" si="275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 s="8">
        <f t="shared" si="271"/>
        <v>26</v>
      </c>
      <c r="Q2887" s="10" t="s">
        <v>8315</v>
      </c>
      <c r="R2887" s="10" t="s">
        <v>8316</v>
      </c>
      <c r="S2887" s="16">
        <f t="shared" si="272"/>
        <v>42047.07640046296</v>
      </c>
      <c r="T2887" s="16">
        <f t="shared" si="273"/>
        <v>42077.034733796296</v>
      </c>
      <c r="U2887">
        <f t="shared" si="274"/>
        <v>30</v>
      </c>
      <c r="V2887">
        <f t="shared" si="275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 s="8">
        <f t="shared" si="271"/>
        <v>10</v>
      </c>
      <c r="Q2888" s="10" t="s">
        <v>8315</v>
      </c>
      <c r="R2888" s="10" t="s">
        <v>8316</v>
      </c>
      <c r="S2888" s="16">
        <f t="shared" si="272"/>
        <v>42261.632916666669</v>
      </c>
      <c r="T2888" s="16">
        <f t="shared" si="273"/>
        <v>42266.165972222225</v>
      </c>
      <c r="U2888">
        <f t="shared" si="274"/>
        <v>5</v>
      </c>
      <c r="V2888">
        <f t="shared" si="275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 s="8">
        <f t="shared" si="271"/>
        <v>5</v>
      </c>
      <c r="Q2889" s="10" t="s">
        <v>8315</v>
      </c>
      <c r="R2889" s="10" t="s">
        <v>8316</v>
      </c>
      <c r="S2889" s="16">
        <f t="shared" si="272"/>
        <v>41985.427361111113</v>
      </c>
      <c r="T2889" s="16">
        <f t="shared" si="273"/>
        <v>42015.427361111113</v>
      </c>
      <c r="U2889">
        <f t="shared" si="274"/>
        <v>30</v>
      </c>
      <c r="V2889">
        <f t="shared" si="275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s="8">
        <f t="shared" si="271"/>
        <v>0</v>
      </c>
      <c r="Q2890" s="10" t="s">
        <v>8315</v>
      </c>
      <c r="R2890" s="10" t="s">
        <v>8316</v>
      </c>
      <c r="S2890" s="16">
        <f t="shared" si="272"/>
        <v>41922.535185185188</v>
      </c>
      <c r="T2890" s="16">
        <f t="shared" si="273"/>
        <v>41930.207638888889</v>
      </c>
      <c r="U2890">
        <f t="shared" si="274"/>
        <v>8</v>
      </c>
      <c r="V2890">
        <f t="shared" si="275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 s="8">
        <f t="shared" si="271"/>
        <v>81.569999999999993</v>
      </c>
      <c r="Q2891" s="10" t="s">
        <v>8315</v>
      </c>
      <c r="R2891" s="10" t="s">
        <v>8316</v>
      </c>
      <c r="S2891" s="16">
        <f t="shared" si="272"/>
        <v>41850.863252314812</v>
      </c>
      <c r="T2891" s="16">
        <f t="shared" si="273"/>
        <v>41880.863252314812</v>
      </c>
      <c r="U2891">
        <f t="shared" si="274"/>
        <v>30</v>
      </c>
      <c r="V2891">
        <f t="shared" si="275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 s="8">
        <f t="shared" si="271"/>
        <v>7</v>
      </c>
      <c r="Q2892" s="10" t="s">
        <v>8315</v>
      </c>
      <c r="R2892" s="10" t="s">
        <v>8316</v>
      </c>
      <c r="S2892" s="16">
        <f t="shared" si="272"/>
        <v>41831.742962962962</v>
      </c>
      <c r="T2892" s="16">
        <f t="shared" si="273"/>
        <v>41860.125</v>
      </c>
      <c r="U2892">
        <f t="shared" si="274"/>
        <v>28</v>
      </c>
      <c r="V2892">
        <f t="shared" si="275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 s="8">
        <f t="shared" si="271"/>
        <v>27.3</v>
      </c>
      <c r="Q2893" s="10" t="s">
        <v>8315</v>
      </c>
      <c r="R2893" s="10" t="s">
        <v>8316</v>
      </c>
      <c r="S2893" s="16">
        <f t="shared" si="272"/>
        <v>42415.883425925931</v>
      </c>
      <c r="T2893" s="16">
        <f t="shared" si="273"/>
        <v>42475.84175925926</v>
      </c>
      <c r="U2893">
        <f t="shared" si="274"/>
        <v>60</v>
      </c>
      <c r="V2893">
        <f t="shared" si="275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 s="8">
        <f t="shared" si="271"/>
        <v>29.41</v>
      </c>
      <c r="Q2894" s="10" t="s">
        <v>8315</v>
      </c>
      <c r="R2894" s="10" t="s">
        <v>8316</v>
      </c>
      <c r="S2894" s="16">
        <f t="shared" si="272"/>
        <v>41869.714166666665</v>
      </c>
      <c r="T2894" s="16">
        <f t="shared" si="273"/>
        <v>41876.875</v>
      </c>
      <c r="U2894">
        <f t="shared" si="274"/>
        <v>7</v>
      </c>
      <c r="V2894">
        <f t="shared" si="275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 s="8">
        <f t="shared" si="271"/>
        <v>12.5</v>
      </c>
      <c r="Q2895" s="10" t="s">
        <v>8315</v>
      </c>
      <c r="R2895" s="10" t="s">
        <v>8316</v>
      </c>
      <c r="S2895" s="16">
        <f t="shared" si="272"/>
        <v>41953.773090277777</v>
      </c>
      <c r="T2895" s="16">
        <f t="shared" si="273"/>
        <v>42013.083333333328</v>
      </c>
      <c r="U2895">
        <f t="shared" si="274"/>
        <v>59</v>
      </c>
      <c r="V2895">
        <f t="shared" si="275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s="8">
        <f t="shared" si="271"/>
        <v>0</v>
      </c>
      <c r="Q2896" s="10" t="s">
        <v>8315</v>
      </c>
      <c r="R2896" s="10" t="s">
        <v>8316</v>
      </c>
      <c r="S2896" s="16">
        <f t="shared" si="272"/>
        <v>42037.986284722225</v>
      </c>
      <c r="T2896" s="16">
        <f t="shared" si="273"/>
        <v>42097.944618055553</v>
      </c>
      <c r="U2896">
        <f t="shared" si="274"/>
        <v>60</v>
      </c>
      <c r="V2896">
        <f t="shared" si="275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 s="8">
        <f t="shared" si="271"/>
        <v>5.75</v>
      </c>
      <c r="Q2897" s="10" t="s">
        <v>8315</v>
      </c>
      <c r="R2897" s="10" t="s">
        <v>8316</v>
      </c>
      <c r="S2897" s="16">
        <f t="shared" si="272"/>
        <v>41811.555462962962</v>
      </c>
      <c r="T2897" s="16">
        <f t="shared" si="273"/>
        <v>41812.875</v>
      </c>
      <c r="U2897">
        <f t="shared" si="274"/>
        <v>1</v>
      </c>
      <c r="V2897">
        <f t="shared" si="275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 s="8">
        <f t="shared" si="271"/>
        <v>52.08</v>
      </c>
      <c r="Q2898" s="10" t="s">
        <v>8315</v>
      </c>
      <c r="R2898" s="10" t="s">
        <v>8316</v>
      </c>
      <c r="S2898" s="16">
        <f t="shared" si="272"/>
        <v>42701.908807870372</v>
      </c>
      <c r="T2898" s="16">
        <f t="shared" si="273"/>
        <v>42716.25</v>
      </c>
      <c r="U2898">
        <f t="shared" si="274"/>
        <v>14</v>
      </c>
      <c r="V2898">
        <f t="shared" si="275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 s="8">
        <f t="shared" si="271"/>
        <v>183.33</v>
      </c>
      <c r="Q2899" s="10" t="s">
        <v>8315</v>
      </c>
      <c r="R2899" s="10" t="s">
        <v>8316</v>
      </c>
      <c r="S2899" s="16">
        <f t="shared" si="272"/>
        <v>42258.646504629629</v>
      </c>
      <c r="T2899" s="16">
        <f t="shared" si="273"/>
        <v>42288.645196759258</v>
      </c>
      <c r="U2899">
        <f t="shared" si="274"/>
        <v>30</v>
      </c>
      <c r="V2899">
        <f t="shared" si="275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 s="8">
        <f t="shared" si="271"/>
        <v>26.33</v>
      </c>
      <c r="Q2900" s="10" t="s">
        <v>8315</v>
      </c>
      <c r="R2900" s="10" t="s">
        <v>8316</v>
      </c>
      <c r="S2900" s="16">
        <f t="shared" si="272"/>
        <v>42278.664965277778</v>
      </c>
      <c r="T2900" s="16">
        <f t="shared" si="273"/>
        <v>42308.664965277778</v>
      </c>
      <c r="U2900">
        <f t="shared" si="274"/>
        <v>30</v>
      </c>
      <c r="V2900">
        <f t="shared" si="275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s="8">
        <f t="shared" si="271"/>
        <v>0</v>
      </c>
      <c r="Q2901" s="10" t="s">
        <v>8315</v>
      </c>
      <c r="R2901" s="10" t="s">
        <v>8316</v>
      </c>
      <c r="S2901" s="16">
        <f t="shared" si="272"/>
        <v>42515.078217592592</v>
      </c>
      <c r="T2901" s="16">
        <f t="shared" si="273"/>
        <v>42575.078217592592</v>
      </c>
      <c r="U2901">
        <f t="shared" si="274"/>
        <v>60</v>
      </c>
      <c r="V2901">
        <f t="shared" si="275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 s="8">
        <f t="shared" si="271"/>
        <v>486.43</v>
      </c>
      <c r="Q2902" s="10" t="s">
        <v>8315</v>
      </c>
      <c r="R2902" s="10" t="s">
        <v>8316</v>
      </c>
      <c r="S2902" s="16">
        <f t="shared" si="272"/>
        <v>41830.234166666669</v>
      </c>
      <c r="T2902" s="16">
        <f t="shared" si="273"/>
        <v>41860.234166666669</v>
      </c>
      <c r="U2902">
        <f t="shared" si="274"/>
        <v>30</v>
      </c>
      <c r="V2902">
        <f t="shared" si="275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 s="8">
        <f t="shared" si="271"/>
        <v>3</v>
      </c>
      <c r="Q2903" s="10" t="s">
        <v>8315</v>
      </c>
      <c r="R2903" s="10" t="s">
        <v>8316</v>
      </c>
      <c r="S2903" s="16">
        <f t="shared" si="272"/>
        <v>41982.904386574075</v>
      </c>
      <c r="T2903" s="16">
        <f t="shared" si="273"/>
        <v>42042.904386574075</v>
      </c>
      <c r="U2903">
        <f t="shared" si="274"/>
        <v>60</v>
      </c>
      <c r="V2903">
        <f t="shared" si="275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 s="8">
        <f t="shared" si="271"/>
        <v>25</v>
      </c>
      <c r="Q2904" s="10" t="s">
        <v>8315</v>
      </c>
      <c r="R2904" s="10" t="s">
        <v>8316</v>
      </c>
      <c r="S2904" s="16">
        <f t="shared" si="272"/>
        <v>42210.439768518518</v>
      </c>
      <c r="T2904" s="16">
        <f t="shared" si="273"/>
        <v>42240.439768518518</v>
      </c>
      <c r="U2904">
        <f t="shared" si="274"/>
        <v>30</v>
      </c>
      <c r="V2904">
        <f t="shared" si="275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 s="8">
        <f t="shared" si="271"/>
        <v>9.75</v>
      </c>
      <c r="Q2905" s="10" t="s">
        <v>8315</v>
      </c>
      <c r="R2905" s="10" t="s">
        <v>8316</v>
      </c>
      <c r="S2905" s="16">
        <f t="shared" si="272"/>
        <v>42196.166874999995</v>
      </c>
      <c r="T2905" s="16">
        <f t="shared" si="273"/>
        <v>42256.166874999995</v>
      </c>
      <c r="U2905">
        <f t="shared" si="274"/>
        <v>60</v>
      </c>
      <c r="V2905">
        <f t="shared" si="275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 s="8">
        <f t="shared" si="271"/>
        <v>18.75</v>
      </c>
      <c r="Q2906" s="10" t="s">
        <v>8315</v>
      </c>
      <c r="R2906" s="10" t="s">
        <v>8316</v>
      </c>
      <c r="S2906" s="16">
        <f t="shared" si="272"/>
        <v>41940.967951388891</v>
      </c>
      <c r="T2906" s="16">
        <f t="shared" si="273"/>
        <v>41952.5</v>
      </c>
      <c r="U2906">
        <f t="shared" si="274"/>
        <v>12</v>
      </c>
      <c r="V2906">
        <f t="shared" si="275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 s="8">
        <f t="shared" si="271"/>
        <v>36.590000000000003</v>
      </c>
      <c r="Q2907" s="10" t="s">
        <v>8315</v>
      </c>
      <c r="R2907" s="10" t="s">
        <v>8316</v>
      </c>
      <c r="S2907" s="16">
        <f t="shared" si="272"/>
        <v>42606.056863425925</v>
      </c>
      <c r="T2907" s="16">
        <f t="shared" si="273"/>
        <v>42620.056863425925</v>
      </c>
      <c r="U2907">
        <f t="shared" si="274"/>
        <v>14</v>
      </c>
      <c r="V2907">
        <f t="shared" si="275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 s="8">
        <f t="shared" si="271"/>
        <v>80.709999999999994</v>
      </c>
      <c r="Q2908" s="10" t="s">
        <v>8315</v>
      </c>
      <c r="R2908" s="10" t="s">
        <v>8316</v>
      </c>
      <c r="S2908" s="16">
        <f t="shared" si="272"/>
        <v>42199.648912037039</v>
      </c>
      <c r="T2908" s="16">
        <f t="shared" si="273"/>
        <v>42217.041666666672</v>
      </c>
      <c r="U2908">
        <f t="shared" si="274"/>
        <v>17</v>
      </c>
      <c r="V2908">
        <f t="shared" si="275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 s="8">
        <f t="shared" si="271"/>
        <v>1</v>
      </c>
      <c r="Q2909" s="10" t="s">
        <v>8315</v>
      </c>
      <c r="R2909" s="10" t="s">
        <v>8316</v>
      </c>
      <c r="S2909" s="16">
        <f t="shared" si="272"/>
        <v>42444.877743055549</v>
      </c>
      <c r="T2909" s="16">
        <f t="shared" si="273"/>
        <v>42504.877743055549</v>
      </c>
      <c r="U2909">
        <f t="shared" si="274"/>
        <v>60</v>
      </c>
      <c r="V2909">
        <f t="shared" si="275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 s="8">
        <f t="shared" si="271"/>
        <v>52.8</v>
      </c>
      <c r="Q2910" s="10" t="s">
        <v>8315</v>
      </c>
      <c r="R2910" s="10" t="s">
        <v>8316</v>
      </c>
      <c r="S2910" s="16">
        <f t="shared" si="272"/>
        <v>42499.731701388882</v>
      </c>
      <c r="T2910" s="16">
        <f t="shared" si="273"/>
        <v>42529.731701388882</v>
      </c>
      <c r="U2910">
        <f t="shared" si="274"/>
        <v>30</v>
      </c>
      <c r="V2910">
        <f t="shared" si="275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 s="8">
        <f t="shared" si="271"/>
        <v>20</v>
      </c>
      <c r="Q2911" s="10" t="s">
        <v>8315</v>
      </c>
      <c r="R2911" s="10" t="s">
        <v>8316</v>
      </c>
      <c r="S2911" s="16">
        <f t="shared" si="272"/>
        <v>41929.266215277778</v>
      </c>
      <c r="T2911" s="16">
        <f t="shared" si="273"/>
        <v>41968.823611111111</v>
      </c>
      <c r="U2911">
        <f t="shared" si="274"/>
        <v>40</v>
      </c>
      <c r="V2911">
        <f t="shared" si="275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 s="8">
        <f t="shared" si="271"/>
        <v>1</v>
      </c>
      <c r="Q2912" s="10" t="s">
        <v>8315</v>
      </c>
      <c r="R2912" s="10" t="s">
        <v>8316</v>
      </c>
      <c r="S2912" s="16">
        <f t="shared" si="272"/>
        <v>42107.841284722221</v>
      </c>
      <c r="T2912" s="16">
        <f t="shared" si="273"/>
        <v>42167.841284722221</v>
      </c>
      <c r="U2912">
        <f t="shared" si="274"/>
        <v>60</v>
      </c>
      <c r="V2912">
        <f t="shared" si="275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 s="8">
        <f t="shared" si="271"/>
        <v>46.93</v>
      </c>
      <c r="Q2913" s="10" t="s">
        <v>8315</v>
      </c>
      <c r="R2913" s="10" t="s">
        <v>8316</v>
      </c>
      <c r="S2913" s="16">
        <f t="shared" si="272"/>
        <v>42142.768819444449</v>
      </c>
      <c r="T2913" s="16">
        <f t="shared" si="273"/>
        <v>42182.768819444449</v>
      </c>
      <c r="U2913">
        <f t="shared" si="274"/>
        <v>40</v>
      </c>
      <c r="V2913">
        <f t="shared" si="275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 s="8">
        <f t="shared" si="271"/>
        <v>78.08</v>
      </c>
      <c r="Q2914" s="10" t="s">
        <v>8315</v>
      </c>
      <c r="R2914" s="10" t="s">
        <v>8316</v>
      </c>
      <c r="S2914" s="16">
        <f t="shared" si="272"/>
        <v>42354.131643518514</v>
      </c>
      <c r="T2914" s="16">
        <f t="shared" si="273"/>
        <v>42384.131643518514</v>
      </c>
      <c r="U2914">
        <f t="shared" si="274"/>
        <v>30</v>
      </c>
      <c r="V2914">
        <f t="shared" si="275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 s="8">
        <f t="shared" si="271"/>
        <v>1</v>
      </c>
      <c r="Q2915" s="10" t="s">
        <v>8315</v>
      </c>
      <c r="R2915" s="10" t="s">
        <v>8316</v>
      </c>
      <c r="S2915" s="16">
        <f t="shared" si="272"/>
        <v>41828.922905092593</v>
      </c>
      <c r="T2915" s="16">
        <f t="shared" si="273"/>
        <v>41888.922905092593</v>
      </c>
      <c r="U2915">
        <f t="shared" si="274"/>
        <v>60</v>
      </c>
      <c r="V2915">
        <f t="shared" si="275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 s="8">
        <f t="shared" si="271"/>
        <v>1</v>
      </c>
      <c r="Q2916" s="10" t="s">
        <v>8315</v>
      </c>
      <c r="R2916" s="10" t="s">
        <v>8316</v>
      </c>
      <c r="S2916" s="16">
        <f t="shared" si="272"/>
        <v>42017.907337962963</v>
      </c>
      <c r="T2916" s="16">
        <f t="shared" si="273"/>
        <v>42077.865671296298</v>
      </c>
      <c r="U2916">
        <f t="shared" si="274"/>
        <v>60</v>
      </c>
      <c r="V2916">
        <f t="shared" si="275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 s="8">
        <f t="shared" si="271"/>
        <v>203.67</v>
      </c>
      <c r="Q2917" s="10" t="s">
        <v>8315</v>
      </c>
      <c r="R2917" s="10" t="s">
        <v>8316</v>
      </c>
      <c r="S2917" s="16">
        <f t="shared" si="272"/>
        <v>42415.398032407407</v>
      </c>
      <c r="T2917" s="16">
        <f t="shared" si="273"/>
        <v>42445.356365740736</v>
      </c>
      <c r="U2917">
        <f t="shared" si="274"/>
        <v>30</v>
      </c>
      <c r="V2917">
        <f t="shared" si="275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 s="8">
        <f t="shared" si="271"/>
        <v>20.71</v>
      </c>
      <c r="Q2918" s="10" t="s">
        <v>8315</v>
      </c>
      <c r="R2918" s="10" t="s">
        <v>8316</v>
      </c>
      <c r="S2918" s="16">
        <f t="shared" si="272"/>
        <v>41755.476724537039</v>
      </c>
      <c r="T2918" s="16">
        <f t="shared" si="273"/>
        <v>41778.476724537039</v>
      </c>
      <c r="U2918">
        <f t="shared" si="274"/>
        <v>23</v>
      </c>
      <c r="V2918">
        <f t="shared" si="275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 s="8">
        <f t="shared" si="271"/>
        <v>48.56</v>
      </c>
      <c r="Q2919" s="10" t="s">
        <v>8315</v>
      </c>
      <c r="R2919" s="10" t="s">
        <v>8316</v>
      </c>
      <c r="S2919" s="16">
        <f t="shared" si="272"/>
        <v>42245.234340277777</v>
      </c>
      <c r="T2919" s="16">
        <f t="shared" si="273"/>
        <v>42263.234340277777</v>
      </c>
      <c r="U2919">
        <f t="shared" si="274"/>
        <v>18</v>
      </c>
      <c r="V2919">
        <f t="shared" si="275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 s="8">
        <f t="shared" si="271"/>
        <v>68.099999999999994</v>
      </c>
      <c r="Q2920" s="10" t="s">
        <v>8315</v>
      </c>
      <c r="R2920" s="10" t="s">
        <v>8316</v>
      </c>
      <c r="S2920" s="16">
        <f t="shared" si="272"/>
        <v>42278.629710648151</v>
      </c>
      <c r="T2920" s="16">
        <f t="shared" si="273"/>
        <v>42306.629710648151</v>
      </c>
      <c r="U2920">
        <f t="shared" si="274"/>
        <v>28</v>
      </c>
      <c r="V2920">
        <f t="shared" si="275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 s="8">
        <f t="shared" si="271"/>
        <v>8.5</v>
      </c>
      <c r="Q2921" s="10" t="s">
        <v>8315</v>
      </c>
      <c r="R2921" s="10" t="s">
        <v>8316</v>
      </c>
      <c r="S2921" s="16">
        <f t="shared" si="272"/>
        <v>41826.61954861111</v>
      </c>
      <c r="T2921" s="16">
        <f t="shared" si="273"/>
        <v>41856.61954861111</v>
      </c>
      <c r="U2921">
        <f t="shared" si="274"/>
        <v>30</v>
      </c>
      <c r="V2921">
        <f t="shared" si="275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 s="8">
        <f t="shared" si="271"/>
        <v>51.62</v>
      </c>
      <c r="Q2922" s="10" t="s">
        <v>8315</v>
      </c>
      <c r="R2922" s="10" t="s">
        <v>8316</v>
      </c>
      <c r="S2922" s="16">
        <f t="shared" si="272"/>
        <v>42058.792476851857</v>
      </c>
      <c r="T2922" s="16">
        <f t="shared" si="273"/>
        <v>42088.750810185185</v>
      </c>
      <c r="U2922">
        <f t="shared" si="274"/>
        <v>30</v>
      </c>
      <c r="V2922">
        <f t="shared" si="275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 s="8">
        <f t="shared" si="271"/>
        <v>43</v>
      </c>
      <c r="Q2923" s="10" t="s">
        <v>8315</v>
      </c>
      <c r="R2923" s="10" t="s">
        <v>8357</v>
      </c>
      <c r="S2923" s="16">
        <f t="shared" si="272"/>
        <v>41877.886620370373</v>
      </c>
      <c r="T2923" s="16">
        <f t="shared" si="273"/>
        <v>41907.886620370373</v>
      </c>
      <c r="U2923">
        <f t="shared" si="274"/>
        <v>30</v>
      </c>
      <c r="V2923">
        <f t="shared" si="275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 s="8">
        <f t="shared" si="271"/>
        <v>83.33</v>
      </c>
      <c r="Q2924" s="10" t="s">
        <v>8315</v>
      </c>
      <c r="R2924" s="10" t="s">
        <v>8357</v>
      </c>
      <c r="S2924" s="16">
        <f t="shared" si="272"/>
        <v>42097.874155092592</v>
      </c>
      <c r="T2924" s="16">
        <f t="shared" si="273"/>
        <v>42142.874155092592</v>
      </c>
      <c r="U2924">
        <f t="shared" si="274"/>
        <v>45</v>
      </c>
      <c r="V2924">
        <f t="shared" si="275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 s="8">
        <f t="shared" si="271"/>
        <v>30</v>
      </c>
      <c r="Q2925" s="10" t="s">
        <v>8315</v>
      </c>
      <c r="R2925" s="10" t="s">
        <v>8357</v>
      </c>
      <c r="S2925" s="16">
        <f t="shared" si="272"/>
        <v>42013.15253472222</v>
      </c>
      <c r="T2925" s="16">
        <f t="shared" si="273"/>
        <v>42028.125</v>
      </c>
      <c r="U2925">
        <f t="shared" si="274"/>
        <v>15</v>
      </c>
      <c r="V2925">
        <f t="shared" si="275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 s="8">
        <f t="shared" si="271"/>
        <v>175.51</v>
      </c>
      <c r="Q2926" s="10" t="s">
        <v>8315</v>
      </c>
      <c r="R2926" s="10" t="s">
        <v>8357</v>
      </c>
      <c r="S2926" s="16">
        <f t="shared" si="272"/>
        <v>42103.556828703702</v>
      </c>
      <c r="T2926" s="16">
        <f t="shared" si="273"/>
        <v>42133.165972222225</v>
      </c>
      <c r="U2926">
        <f t="shared" si="274"/>
        <v>30</v>
      </c>
      <c r="V2926">
        <f t="shared" si="275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 s="8">
        <f t="shared" si="271"/>
        <v>231.66</v>
      </c>
      <c r="Q2927" s="10" t="s">
        <v>8315</v>
      </c>
      <c r="R2927" s="10" t="s">
        <v>8357</v>
      </c>
      <c r="S2927" s="16">
        <f t="shared" si="272"/>
        <v>41863.584120370368</v>
      </c>
      <c r="T2927" s="16">
        <f t="shared" si="273"/>
        <v>41893.584120370368</v>
      </c>
      <c r="U2927">
        <f t="shared" si="274"/>
        <v>30</v>
      </c>
      <c r="V2927">
        <f t="shared" si="275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 s="8">
        <f t="shared" si="271"/>
        <v>75</v>
      </c>
      <c r="Q2928" s="10" t="s">
        <v>8315</v>
      </c>
      <c r="R2928" s="10" t="s">
        <v>8357</v>
      </c>
      <c r="S2928" s="16">
        <f t="shared" si="272"/>
        <v>42044.765960648147</v>
      </c>
      <c r="T2928" s="16">
        <f t="shared" si="273"/>
        <v>42058.765960648147</v>
      </c>
      <c r="U2928">
        <f t="shared" si="274"/>
        <v>14</v>
      </c>
      <c r="V2928">
        <f t="shared" si="275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 s="8">
        <f t="shared" si="271"/>
        <v>112.14</v>
      </c>
      <c r="Q2929" s="10" t="s">
        <v>8315</v>
      </c>
      <c r="R2929" s="10" t="s">
        <v>8357</v>
      </c>
      <c r="S2929" s="16">
        <f t="shared" si="272"/>
        <v>41806.669317129628</v>
      </c>
      <c r="T2929" s="16">
        <f t="shared" si="273"/>
        <v>41835.208333333336</v>
      </c>
      <c r="U2929">
        <f t="shared" si="274"/>
        <v>29</v>
      </c>
      <c r="V2929">
        <f t="shared" si="275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 s="8">
        <f t="shared" si="271"/>
        <v>41.67</v>
      </c>
      <c r="Q2930" s="10" t="s">
        <v>8315</v>
      </c>
      <c r="R2930" s="10" t="s">
        <v>8357</v>
      </c>
      <c r="S2930" s="16">
        <f t="shared" si="272"/>
        <v>42403.998217592598</v>
      </c>
      <c r="T2930" s="16">
        <f t="shared" si="273"/>
        <v>42433.998217592598</v>
      </c>
      <c r="U2930">
        <f t="shared" si="274"/>
        <v>30</v>
      </c>
      <c r="V2930">
        <f t="shared" si="275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 s="8">
        <f t="shared" si="271"/>
        <v>255.17</v>
      </c>
      <c r="Q2931" s="10" t="s">
        <v>8315</v>
      </c>
      <c r="R2931" s="10" t="s">
        <v>8357</v>
      </c>
      <c r="S2931" s="16">
        <f t="shared" si="272"/>
        <v>41754.564328703702</v>
      </c>
      <c r="T2931" s="16">
        <f t="shared" si="273"/>
        <v>41784.564328703702</v>
      </c>
      <c r="U2931">
        <f t="shared" si="274"/>
        <v>30</v>
      </c>
      <c r="V2931">
        <f t="shared" si="275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 s="8">
        <f t="shared" si="271"/>
        <v>162.77000000000001</v>
      </c>
      <c r="Q2932" s="10" t="s">
        <v>8315</v>
      </c>
      <c r="R2932" s="10" t="s">
        <v>8357</v>
      </c>
      <c r="S2932" s="16">
        <f t="shared" si="272"/>
        <v>42101.584074074075</v>
      </c>
      <c r="T2932" s="16">
        <f t="shared" si="273"/>
        <v>42131.584074074075</v>
      </c>
      <c r="U2932">
        <f t="shared" si="274"/>
        <v>30</v>
      </c>
      <c r="V2932">
        <f t="shared" si="275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 s="8">
        <f t="shared" si="271"/>
        <v>88.33</v>
      </c>
      <c r="Q2933" s="10" t="s">
        <v>8315</v>
      </c>
      <c r="R2933" s="10" t="s">
        <v>8357</v>
      </c>
      <c r="S2933" s="16">
        <f t="shared" si="272"/>
        <v>41872.291238425925</v>
      </c>
      <c r="T2933" s="16">
        <f t="shared" si="273"/>
        <v>41897.255555555559</v>
      </c>
      <c r="U2933">
        <f t="shared" si="274"/>
        <v>25</v>
      </c>
      <c r="V2933">
        <f t="shared" si="275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 s="8">
        <f t="shared" si="271"/>
        <v>85.74</v>
      </c>
      <c r="Q2934" s="10" t="s">
        <v>8315</v>
      </c>
      <c r="R2934" s="10" t="s">
        <v>8357</v>
      </c>
      <c r="S2934" s="16">
        <f t="shared" si="272"/>
        <v>42025.164780092593</v>
      </c>
      <c r="T2934" s="16">
        <f t="shared" si="273"/>
        <v>42056.458333333328</v>
      </c>
      <c r="U2934">
        <f t="shared" si="274"/>
        <v>31</v>
      </c>
      <c r="V2934">
        <f t="shared" si="275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 s="8">
        <f t="shared" si="271"/>
        <v>47.57</v>
      </c>
      <c r="Q2935" s="10" t="s">
        <v>8315</v>
      </c>
      <c r="R2935" s="10" t="s">
        <v>8357</v>
      </c>
      <c r="S2935" s="16">
        <f t="shared" si="272"/>
        <v>42495.956631944442</v>
      </c>
      <c r="T2935" s="16">
        <f t="shared" si="273"/>
        <v>42525.956631944442</v>
      </c>
      <c r="U2935">
        <f t="shared" si="274"/>
        <v>30</v>
      </c>
      <c r="V2935">
        <f t="shared" si="275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 s="8">
        <f t="shared" si="271"/>
        <v>72.97</v>
      </c>
      <c r="Q2936" s="10" t="s">
        <v>8315</v>
      </c>
      <c r="R2936" s="10" t="s">
        <v>8357</v>
      </c>
      <c r="S2936" s="16">
        <f t="shared" si="272"/>
        <v>41775.636157407411</v>
      </c>
      <c r="T2936" s="16">
        <f t="shared" si="273"/>
        <v>41805.636157407411</v>
      </c>
      <c r="U2936">
        <f t="shared" si="274"/>
        <v>30</v>
      </c>
      <c r="V2936">
        <f t="shared" si="275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 s="8">
        <f t="shared" si="271"/>
        <v>90.54</v>
      </c>
      <c r="Q2937" s="10" t="s">
        <v>8315</v>
      </c>
      <c r="R2937" s="10" t="s">
        <v>8357</v>
      </c>
      <c r="S2937" s="16">
        <f t="shared" si="272"/>
        <v>42553.583425925928</v>
      </c>
      <c r="T2937" s="16">
        <f t="shared" si="273"/>
        <v>42611.708333333328</v>
      </c>
      <c r="U2937">
        <f t="shared" si="274"/>
        <v>58</v>
      </c>
      <c r="V2937">
        <f t="shared" si="275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 s="8">
        <f t="shared" si="271"/>
        <v>37.65</v>
      </c>
      <c r="Q2938" s="10" t="s">
        <v>8315</v>
      </c>
      <c r="R2938" s="10" t="s">
        <v>8357</v>
      </c>
      <c r="S2938" s="16">
        <f t="shared" si="272"/>
        <v>41912.650729166664</v>
      </c>
      <c r="T2938" s="16">
        <f t="shared" si="273"/>
        <v>41925.207638888889</v>
      </c>
      <c r="U2938">
        <f t="shared" si="274"/>
        <v>13</v>
      </c>
      <c r="V2938">
        <f t="shared" si="275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 s="8">
        <f t="shared" si="271"/>
        <v>36.36</v>
      </c>
      <c r="Q2939" s="10" t="s">
        <v>8315</v>
      </c>
      <c r="R2939" s="10" t="s">
        <v>8357</v>
      </c>
      <c r="S2939" s="16">
        <f t="shared" si="272"/>
        <v>41803.457326388889</v>
      </c>
      <c r="T2939" s="16">
        <f t="shared" si="273"/>
        <v>41833.457326388889</v>
      </c>
      <c r="U2939">
        <f t="shared" si="274"/>
        <v>30</v>
      </c>
      <c r="V2939">
        <f t="shared" si="275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 s="8">
        <f t="shared" si="271"/>
        <v>126.72</v>
      </c>
      <c r="Q2940" s="10" t="s">
        <v>8315</v>
      </c>
      <c r="R2940" s="10" t="s">
        <v>8357</v>
      </c>
      <c r="S2940" s="16">
        <f t="shared" si="272"/>
        <v>42004.703865740739</v>
      </c>
      <c r="T2940" s="16">
        <f t="shared" si="273"/>
        <v>42034.703865740739</v>
      </c>
      <c r="U2940">
        <f t="shared" si="274"/>
        <v>30</v>
      </c>
      <c r="V2940">
        <f t="shared" si="275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 s="8">
        <f t="shared" si="271"/>
        <v>329.2</v>
      </c>
      <c r="Q2941" s="10" t="s">
        <v>8315</v>
      </c>
      <c r="R2941" s="10" t="s">
        <v>8357</v>
      </c>
      <c r="S2941" s="16">
        <f t="shared" si="272"/>
        <v>41845.809166666666</v>
      </c>
      <c r="T2941" s="16">
        <f t="shared" si="273"/>
        <v>41879.041666666664</v>
      </c>
      <c r="U2941">
        <f t="shared" si="274"/>
        <v>33</v>
      </c>
      <c r="V2941">
        <f t="shared" si="275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 s="8">
        <f t="shared" si="271"/>
        <v>81.239999999999995</v>
      </c>
      <c r="Q2942" s="10" t="s">
        <v>8315</v>
      </c>
      <c r="R2942" s="10" t="s">
        <v>8357</v>
      </c>
      <c r="S2942" s="16">
        <f t="shared" si="272"/>
        <v>41982.773356481484</v>
      </c>
      <c r="T2942" s="16">
        <f t="shared" si="273"/>
        <v>42022.773356481484</v>
      </c>
      <c r="U2942">
        <f t="shared" si="274"/>
        <v>40</v>
      </c>
      <c r="V2942">
        <f t="shared" si="275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 s="8">
        <f t="shared" si="271"/>
        <v>1</v>
      </c>
      <c r="Q2943" s="10" t="s">
        <v>8315</v>
      </c>
      <c r="R2943" s="10" t="s">
        <v>8355</v>
      </c>
      <c r="S2943" s="16">
        <f t="shared" si="272"/>
        <v>42034.960127314815</v>
      </c>
      <c r="T2943" s="16">
        <f t="shared" si="273"/>
        <v>42064.960127314815</v>
      </c>
      <c r="U2943">
        <f t="shared" si="274"/>
        <v>30</v>
      </c>
      <c r="V2943">
        <f t="shared" si="275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 s="8">
        <f t="shared" si="271"/>
        <v>202.23</v>
      </c>
      <c r="Q2944" s="10" t="s">
        <v>8315</v>
      </c>
      <c r="R2944" s="10" t="s">
        <v>8355</v>
      </c>
      <c r="S2944" s="16">
        <f t="shared" si="272"/>
        <v>42334.803923611107</v>
      </c>
      <c r="T2944" s="16">
        <f t="shared" si="273"/>
        <v>42354.845833333333</v>
      </c>
      <c r="U2944">
        <f t="shared" si="274"/>
        <v>20</v>
      </c>
      <c r="V2944">
        <f t="shared" si="275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 s="8">
        <f t="shared" si="271"/>
        <v>0</v>
      </c>
      <c r="Q2945" s="10" t="s">
        <v>8315</v>
      </c>
      <c r="R2945" s="10" t="s">
        <v>8355</v>
      </c>
      <c r="S2945" s="16">
        <f t="shared" si="272"/>
        <v>42077.129398148143</v>
      </c>
      <c r="T2945" s="16">
        <f t="shared" si="273"/>
        <v>42107.129398148143</v>
      </c>
      <c r="U2945">
        <f t="shared" si="274"/>
        <v>30</v>
      </c>
      <c r="V2945">
        <f t="shared" si="275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ROUND((E2946/D2946)*100, 0)</f>
        <v>1</v>
      </c>
      <c r="P2946" s="8">
        <f t="shared" ref="P2946:P3009" si="277">IFERROR(ROUND(E2946/L2946, 2), 0)</f>
        <v>100</v>
      </c>
      <c r="Q2946" s="10" t="s">
        <v>8315</v>
      </c>
      <c r="R2946" s="10" t="s">
        <v>8355</v>
      </c>
      <c r="S2946" s="16">
        <f t="shared" ref="S2946:S3009" si="278">(J2946/60/60/24)+DATE(1970, 1, 1)</f>
        <v>42132.9143287037</v>
      </c>
      <c r="T2946" s="16">
        <f t="shared" ref="T2946:T3009" si="279">(I2946/60/60/24)+DATE(1970, 1, 1)</f>
        <v>42162.9143287037</v>
      </c>
      <c r="U2946">
        <f t="shared" si="274"/>
        <v>30</v>
      </c>
      <c r="V2946">
        <f t="shared" si="275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 s="8">
        <f t="shared" si="277"/>
        <v>0</v>
      </c>
      <c r="Q2947" s="10" t="s">
        <v>8315</v>
      </c>
      <c r="R2947" s="10" t="s">
        <v>8355</v>
      </c>
      <c r="S2947" s="16">
        <f t="shared" si="278"/>
        <v>42118.139583333337</v>
      </c>
      <c r="T2947" s="16">
        <f t="shared" si="279"/>
        <v>42148.139583333337</v>
      </c>
      <c r="U2947">
        <f t="shared" ref="U2947:U3010" si="280">ROUND(T2947-S2947, 0)</f>
        <v>30</v>
      </c>
      <c r="V2947">
        <f t="shared" ref="V2947:V3010" si="281">YEAR($S2947)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 s="8">
        <f t="shared" si="277"/>
        <v>1</v>
      </c>
      <c r="Q2948" s="10" t="s">
        <v>8315</v>
      </c>
      <c r="R2948" s="10" t="s">
        <v>8355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30</v>
      </c>
      <c r="V2948">
        <f t="shared" si="281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 s="8">
        <f t="shared" si="277"/>
        <v>82.46</v>
      </c>
      <c r="Q2949" s="10" t="s">
        <v>8315</v>
      </c>
      <c r="R2949" s="10" t="s">
        <v>8355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49</v>
      </c>
      <c r="V2949">
        <f t="shared" si="281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 s="8">
        <f t="shared" si="277"/>
        <v>2.67</v>
      </c>
      <c r="Q2950" s="10" t="s">
        <v>8315</v>
      </c>
      <c r="R2950" s="10" t="s">
        <v>8355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60</v>
      </c>
      <c r="V2950">
        <f t="shared" si="281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 s="8">
        <f t="shared" si="277"/>
        <v>12.5</v>
      </c>
      <c r="Q2951" s="10" t="s">
        <v>8315</v>
      </c>
      <c r="R2951" s="10" t="s">
        <v>8355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30</v>
      </c>
      <c r="V2951">
        <f t="shared" si="281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s="8">
        <f t="shared" si="277"/>
        <v>0</v>
      </c>
      <c r="Q2952" s="10" t="s">
        <v>8315</v>
      </c>
      <c r="R2952" s="10" t="s">
        <v>8355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30</v>
      </c>
      <c r="V2952">
        <f t="shared" si="281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 s="8">
        <f t="shared" si="277"/>
        <v>18.899999999999999</v>
      </c>
      <c r="Q2953" s="10" t="s">
        <v>8315</v>
      </c>
      <c r="R2953" s="10" t="s">
        <v>8355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45</v>
      </c>
      <c r="V2953">
        <f t="shared" si="281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 s="8">
        <f t="shared" si="277"/>
        <v>200.63</v>
      </c>
      <c r="Q2954" s="10" t="s">
        <v>8315</v>
      </c>
      <c r="R2954" s="10" t="s">
        <v>8355</v>
      </c>
      <c r="S2954" s="16">
        <f t="shared" si="278"/>
        <v>42628.690266203703</v>
      </c>
      <c r="T2954" s="16">
        <f t="shared" si="279"/>
        <v>42660.166666666672</v>
      </c>
      <c r="U2954">
        <f t="shared" si="280"/>
        <v>31</v>
      </c>
      <c r="V2954">
        <f t="shared" si="281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 s="8">
        <f t="shared" si="277"/>
        <v>201.67</v>
      </c>
      <c r="Q2955" s="10" t="s">
        <v>8315</v>
      </c>
      <c r="R2955" s="10" t="s">
        <v>8355</v>
      </c>
      <c r="S2955" s="16">
        <f t="shared" si="278"/>
        <v>42255.791909722218</v>
      </c>
      <c r="T2955" s="16">
        <f t="shared" si="279"/>
        <v>42285.791909722218</v>
      </c>
      <c r="U2955">
        <f t="shared" si="280"/>
        <v>30</v>
      </c>
      <c r="V2955">
        <f t="shared" si="281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s="8">
        <f t="shared" si="277"/>
        <v>0</v>
      </c>
      <c r="Q2956" s="10" t="s">
        <v>8315</v>
      </c>
      <c r="R2956" s="10" t="s">
        <v>8355</v>
      </c>
      <c r="S2956" s="16">
        <f t="shared" si="278"/>
        <v>42790.583368055552</v>
      </c>
      <c r="T2956" s="16">
        <f t="shared" si="279"/>
        <v>42810.541701388895</v>
      </c>
      <c r="U2956">
        <f t="shared" si="280"/>
        <v>20</v>
      </c>
      <c r="V2956">
        <f t="shared" si="281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 s="8">
        <f t="shared" si="277"/>
        <v>65</v>
      </c>
      <c r="Q2957" s="10" t="s">
        <v>8315</v>
      </c>
      <c r="R2957" s="10" t="s">
        <v>8355</v>
      </c>
      <c r="S2957" s="16">
        <f t="shared" si="278"/>
        <v>42141.741307870368</v>
      </c>
      <c r="T2957" s="16">
        <f t="shared" si="279"/>
        <v>42171.741307870368</v>
      </c>
      <c r="U2957">
        <f t="shared" si="280"/>
        <v>30</v>
      </c>
      <c r="V2957">
        <f t="shared" si="281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 s="8">
        <f t="shared" si="277"/>
        <v>66.099999999999994</v>
      </c>
      <c r="Q2958" s="10" t="s">
        <v>8315</v>
      </c>
      <c r="R2958" s="10" t="s">
        <v>8355</v>
      </c>
      <c r="S2958" s="16">
        <f t="shared" si="278"/>
        <v>42464.958912037036</v>
      </c>
      <c r="T2958" s="16">
        <f t="shared" si="279"/>
        <v>42494.958912037036</v>
      </c>
      <c r="U2958">
        <f t="shared" si="280"/>
        <v>30</v>
      </c>
      <c r="V2958">
        <f t="shared" si="281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 s="8">
        <f t="shared" si="277"/>
        <v>93.33</v>
      </c>
      <c r="Q2959" s="10" t="s">
        <v>8315</v>
      </c>
      <c r="R2959" s="10" t="s">
        <v>8355</v>
      </c>
      <c r="S2959" s="16">
        <f t="shared" si="278"/>
        <v>42031.011249999996</v>
      </c>
      <c r="T2959" s="16">
        <f t="shared" si="279"/>
        <v>42090.969583333332</v>
      </c>
      <c r="U2959">
        <f t="shared" si="280"/>
        <v>60</v>
      </c>
      <c r="V2959">
        <f t="shared" si="281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s="8">
        <f t="shared" si="277"/>
        <v>0</v>
      </c>
      <c r="Q2960" s="10" t="s">
        <v>8315</v>
      </c>
      <c r="R2960" s="10" t="s">
        <v>8355</v>
      </c>
      <c r="S2960" s="16">
        <f t="shared" si="278"/>
        <v>42438.779131944444</v>
      </c>
      <c r="T2960" s="16">
        <f t="shared" si="279"/>
        <v>42498.73746527778</v>
      </c>
      <c r="U2960">
        <f t="shared" si="280"/>
        <v>60</v>
      </c>
      <c r="V2960">
        <f t="shared" si="281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s="8">
        <f t="shared" si="277"/>
        <v>0</v>
      </c>
      <c r="Q2961" s="10" t="s">
        <v>8315</v>
      </c>
      <c r="R2961" s="10" t="s">
        <v>8355</v>
      </c>
      <c r="S2961" s="16">
        <f t="shared" si="278"/>
        <v>42498.008391203708</v>
      </c>
      <c r="T2961" s="16">
        <f t="shared" si="279"/>
        <v>42528.008391203708</v>
      </c>
      <c r="U2961">
        <f t="shared" si="280"/>
        <v>30</v>
      </c>
      <c r="V2961">
        <f t="shared" si="281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s="8">
        <f t="shared" si="277"/>
        <v>0</v>
      </c>
      <c r="Q2962" s="10" t="s">
        <v>8315</v>
      </c>
      <c r="R2962" s="10" t="s">
        <v>8355</v>
      </c>
      <c r="S2962" s="16">
        <f t="shared" si="278"/>
        <v>41863.757210648146</v>
      </c>
      <c r="T2962" s="16">
        <f t="shared" si="279"/>
        <v>41893.757210648146</v>
      </c>
      <c r="U2962">
        <f t="shared" si="280"/>
        <v>30</v>
      </c>
      <c r="V2962">
        <f t="shared" si="281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 s="8">
        <f t="shared" si="277"/>
        <v>50.75</v>
      </c>
      <c r="Q2963" s="10" t="s">
        <v>8315</v>
      </c>
      <c r="R2963" s="10" t="s">
        <v>8316</v>
      </c>
      <c r="S2963" s="16">
        <f t="shared" si="278"/>
        <v>42061.212488425925</v>
      </c>
      <c r="T2963" s="16">
        <f t="shared" si="279"/>
        <v>42089.166666666672</v>
      </c>
      <c r="U2963">
        <f t="shared" si="280"/>
        <v>28</v>
      </c>
      <c r="V2963">
        <f t="shared" si="281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 s="8">
        <f t="shared" si="277"/>
        <v>60.9</v>
      </c>
      <c r="Q2964" s="10" t="s">
        <v>8315</v>
      </c>
      <c r="R2964" s="10" t="s">
        <v>8316</v>
      </c>
      <c r="S2964" s="16">
        <f t="shared" si="278"/>
        <v>42036.24428240741</v>
      </c>
      <c r="T2964" s="16">
        <f t="shared" si="279"/>
        <v>42064.290972222225</v>
      </c>
      <c r="U2964">
        <f t="shared" si="280"/>
        <v>28</v>
      </c>
      <c r="V2964">
        <f t="shared" si="281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 s="8">
        <f t="shared" si="277"/>
        <v>109.03</v>
      </c>
      <c r="Q2965" s="10" t="s">
        <v>8315</v>
      </c>
      <c r="R2965" s="10" t="s">
        <v>8316</v>
      </c>
      <c r="S2965" s="16">
        <f t="shared" si="278"/>
        <v>42157.470185185186</v>
      </c>
      <c r="T2965" s="16">
        <f t="shared" si="279"/>
        <v>42187.470185185186</v>
      </c>
      <c r="U2965">
        <f t="shared" si="280"/>
        <v>30</v>
      </c>
      <c r="V2965">
        <f t="shared" si="281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 s="8">
        <f t="shared" si="277"/>
        <v>25.69</v>
      </c>
      <c r="Q2966" s="10" t="s">
        <v>8315</v>
      </c>
      <c r="R2966" s="10" t="s">
        <v>8316</v>
      </c>
      <c r="S2966" s="16">
        <f t="shared" si="278"/>
        <v>41827.909942129627</v>
      </c>
      <c r="T2966" s="16">
        <f t="shared" si="279"/>
        <v>41857.897222222222</v>
      </c>
      <c r="U2966">
        <f t="shared" si="280"/>
        <v>30</v>
      </c>
      <c r="V2966">
        <f t="shared" si="281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 s="8">
        <f t="shared" si="277"/>
        <v>41.92</v>
      </c>
      <c r="Q2967" s="10" t="s">
        <v>8315</v>
      </c>
      <c r="R2967" s="10" t="s">
        <v>8316</v>
      </c>
      <c r="S2967" s="16">
        <f t="shared" si="278"/>
        <v>42162.729548611111</v>
      </c>
      <c r="T2967" s="16">
        <f t="shared" si="279"/>
        <v>42192.729548611111</v>
      </c>
      <c r="U2967">
        <f t="shared" si="280"/>
        <v>30</v>
      </c>
      <c r="V2967">
        <f t="shared" si="281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 s="8">
        <f t="shared" si="277"/>
        <v>88.77</v>
      </c>
      <c r="Q2968" s="10" t="s">
        <v>8315</v>
      </c>
      <c r="R2968" s="10" t="s">
        <v>8316</v>
      </c>
      <c r="S2968" s="16">
        <f t="shared" si="278"/>
        <v>42233.738564814819</v>
      </c>
      <c r="T2968" s="16">
        <f t="shared" si="279"/>
        <v>42263.738564814819</v>
      </c>
      <c r="U2968">
        <f t="shared" si="280"/>
        <v>30</v>
      </c>
      <c r="V2968">
        <f t="shared" si="281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 s="8">
        <f t="shared" si="277"/>
        <v>80.23</v>
      </c>
      <c r="Q2969" s="10" t="s">
        <v>8315</v>
      </c>
      <c r="R2969" s="10" t="s">
        <v>8316</v>
      </c>
      <c r="S2969" s="16">
        <f t="shared" si="278"/>
        <v>42042.197824074072</v>
      </c>
      <c r="T2969" s="16">
        <f t="shared" si="279"/>
        <v>42072.156157407408</v>
      </c>
      <c r="U2969">
        <f t="shared" si="280"/>
        <v>30</v>
      </c>
      <c r="V2969">
        <f t="shared" si="281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 s="8">
        <f t="shared" si="277"/>
        <v>78.94</v>
      </c>
      <c r="Q2970" s="10" t="s">
        <v>8315</v>
      </c>
      <c r="R2970" s="10" t="s">
        <v>8316</v>
      </c>
      <c r="S2970" s="16">
        <f t="shared" si="278"/>
        <v>42585.523842592593</v>
      </c>
      <c r="T2970" s="16">
        <f t="shared" si="279"/>
        <v>42599.165972222225</v>
      </c>
      <c r="U2970">
        <f t="shared" si="280"/>
        <v>14</v>
      </c>
      <c r="V2970">
        <f t="shared" si="281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 s="8">
        <f t="shared" si="277"/>
        <v>95.59</v>
      </c>
      <c r="Q2971" s="10" t="s">
        <v>8315</v>
      </c>
      <c r="R2971" s="10" t="s">
        <v>8316</v>
      </c>
      <c r="S2971" s="16">
        <f t="shared" si="278"/>
        <v>42097.786493055552</v>
      </c>
      <c r="T2971" s="16">
        <f t="shared" si="279"/>
        <v>42127.952083333337</v>
      </c>
      <c r="U2971">
        <f t="shared" si="280"/>
        <v>30</v>
      </c>
      <c r="V2971">
        <f t="shared" si="281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 s="8">
        <f t="shared" si="277"/>
        <v>69.89</v>
      </c>
      <c r="Q2972" s="10" t="s">
        <v>8315</v>
      </c>
      <c r="R2972" s="10" t="s">
        <v>8316</v>
      </c>
      <c r="S2972" s="16">
        <f t="shared" si="278"/>
        <v>41808.669571759259</v>
      </c>
      <c r="T2972" s="16">
        <f t="shared" si="279"/>
        <v>41838.669571759259</v>
      </c>
      <c r="U2972">
        <f t="shared" si="280"/>
        <v>30</v>
      </c>
      <c r="V2972">
        <f t="shared" si="281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 s="8">
        <f t="shared" si="277"/>
        <v>74.53</v>
      </c>
      <c r="Q2973" s="10" t="s">
        <v>8315</v>
      </c>
      <c r="R2973" s="10" t="s">
        <v>8316</v>
      </c>
      <c r="S2973" s="16">
        <f t="shared" si="278"/>
        <v>41852.658310185187</v>
      </c>
      <c r="T2973" s="16">
        <f t="shared" si="279"/>
        <v>41882.658310185187</v>
      </c>
      <c r="U2973">
        <f t="shared" si="280"/>
        <v>30</v>
      </c>
      <c r="V2973">
        <f t="shared" si="281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 s="8">
        <f t="shared" si="277"/>
        <v>123.94</v>
      </c>
      <c r="Q2974" s="10" t="s">
        <v>8315</v>
      </c>
      <c r="R2974" s="10" t="s">
        <v>8316</v>
      </c>
      <c r="S2974" s="16">
        <f t="shared" si="278"/>
        <v>42694.110185185185</v>
      </c>
      <c r="T2974" s="16">
        <f t="shared" si="279"/>
        <v>42709.041666666672</v>
      </c>
      <c r="U2974">
        <f t="shared" si="280"/>
        <v>15</v>
      </c>
      <c r="V2974">
        <f t="shared" si="281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 s="8">
        <f t="shared" si="277"/>
        <v>264.85000000000002</v>
      </c>
      <c r="Q2975" s="10" t="s">
        <v>8315</v>
      </c>
      <c r="R2975" s="10" t="s">
        <v>8316</v>
      </c>
      <c r="S2975" s="16">
        <f t="shared" si="278"/>
        <v>42341.818379629629</v>
      </c>
      <c r="T2975" s="16">
        <f t="shared" si="279"/>
        <v>42370.166666666672</v>
      </c>
      <c r="U2975">
        <f t="shared" si="280"/>
        <v>28</v>
      </c>
      <c r="V2975">
        <f t="shared" si="281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 s="8">
        <f t="shared" si="277"/>
        <v>58.62</v>
      </c>
      <c r="Q2976" s="10" t="s">
        <v>8315</v>
      </c>
      <c r="R2976" s="10" t="s">
        <v>8316</v>
      </c>
      <c r="S2976" s="16">
        <f t="shared" si="278"/>
        <v>41880.061006944445</v>
      </c>
      <c r="T2976" s="16">
        <f t="shared" si="279"/>
        <v>41908.065972222219</v>
      </c>
      <c r="U2976">
        <f t="shared" si="280"/>
        <v>28</v>
      </c>
      <c r="V2976">
        <f t="shared" si="281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 s="8">
        <f t="shared" si="277"/>
        <v>70.88</v>
      </c>
      <c r="Q2977" s="10" t="s">
        <v>8315</v>
      </c>
      <c r="R2977" s="10" t="s">
        <v>8316</v>
      </c>
      <c r="S2977" s="16">
        <f t="shared" si="278"/>
        <v>41941.683865740742</v>
      </c>
      <c r="T2977" s="16">
        <f t="shared" si="279"/>
        <v>41970.125</v>
      </c>
      <c r="U2977">
        <f t="shared" si="280"/>
        <v>28</v>
      </c>
      <c r="V2977">
        <f t="shared" si="281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 s="8">
        <f t="shared" si="277"/>
        <v>8.57</v>
      </c>
      <c r="Q2978" s="10" t="s">
        <v>8315</v>
      </c>
      <c r="R2978" s="10" t="s">
        <v>8316</v>
      </c>
      <c r="S2978" s="16">
        <f t="shared" si="278"/>
        <v>42425.730671296296</v>
      </c>
      <c r="T2978" s="16">
        <f t="shared" si="279"/>
        <v>42442.5</v>
      </c>
      <c r="U2978">
        <f t="shared" si="280"/>
        <v>17</v>
      </c>
      <c r="V2978">
        <f t="shared" si="281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 s="8">
        <f t="shared" si="277"/>
        <v>113.57</v>
      </c>
      <c r="Q2979" s="10" t="s">
        <v>8315</v>
      </c>
      <c r="R2979" s="10" t="s">
        <v>8316</v>
      </c>
      <c r="S2979" s="16">
        <f t="shared" si="278"/>
        <v>42026.88118055556</v>
      </c>
      <c r="T2979" s="16">
        <f t="shared" si="279"/>
        <v>42086.093055555553</v>
      </c>
      <c r="U2979">
        <f t="shared" si="280"/>
        <v>59</v>
      </c>
      <c r="V2979">
        <f t="shared" si="281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 s="8">
        <f t="shared" si="277"/>
        <v>60.69</v>
      </c>
      <c r="Q2980" s="10" t="s">
        <v>8315</v>
      </c>
      <c r="R2980" s="10" t="s">
        <v>8316</v>
      </c>
      <c r="S2980" s="16">
        <f t="shared" si="278"/>
        <v>41922.640590277777</v>
      </c>
      <c r="T2980" s="16">
        <f t="shared" si="279"/>
        <v>41932.249305555553</v>
      </c>
      <c r="U2980">
        <f t="shared" si="280"/>
        <v>10</v>
      </c>
      <c r="V2980">
        <f t="shared" si="281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 s="8">
        <f t="shared" si="277"/>
        <v>110.22</v>
      </c>
      <c r="Q2981" s="10" t="s">
        <v>8315</v>
      </c>
      <c r="R2981" s="10" t="s">
        <v>8316</v>
      </c>
      <c r="S2981" s="16">
        <f t="shared" si="278"/>
        <v>41993.824340277773</v>
      </c>
      <c r="T2981" s="16">
        <f t="shared" si="279"/>
        <v>42010.25</v>
      </c>
      <c r="U2981">
        <f t="shared" si="280"/>
        <v>16</v>
      </c>
      <c r="V2981">
        <f t="shared" si="281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 s="8">
        <f t="shared" si="277"/>
        <v>136.46</v>
      </c>
      <c r="Q2982" s="10" t="s">
        <v>8315</v>
      </c>
      <c r="R2982" s="10" t="s">
        <v>8316</v>
      </c>
      <c r="S2982" s="16">
        <f t="shared" si="278"/>
        <v>42219.915856481486</v>
      </c>
      <c r="T2982" s="16">
        <f t="shared" si="279"/>
        <v>42240.083333333328</v>
      </c>
      <c r="U2982">
        <f t="shared" si="280"/>
        <v>20</v>
      </c>
      <c r="V2982">
        <f t="shared" si="281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 s="8">
        <f t="shared" si="277"/>
        <v>53.16</v>
      </c>
      <c r="Q2983" s="10" t="s">
        <v>8315</v>
      </c>
      <c r="R2983" s="10" t="s">
        <v>8355</v>
      </c>
      <c r="S2983" s="16">
        <f t="shared" si="278"/>
        <v>42225.559675925921</v>
      </c>
      <c r="T2983" s="16">
        <f t="shared" si="279"/>
        <v>42270.559675925921</v>
      </c>
      <c r="U2983">
        <f t="shared" si="280"/>
        <v>45</v>
      </c>
      <c r="V2983">
        <f t="shared" si="281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 s="8">
        <f t="shared" si="277"/>
        <v>86.49</v>
      </c>
      <c r="Q2984" s="10" t="s">
        <v>8315</v>
      </c>
      <c r="R2984" s="10" t="s">
        <v>8355</v>
      </c>
      <c r="S2984" s="16">
        <f t="shared" si="278"/>
        <v>42381.686840277776</v>
      </c>
      <c r="T2984" s="16">
        <f t="shared" si="279"/>
        <v>42411.686840277776</v>
      </c>
      <c r="U2984">
        <f t="shared" si="280"/>
        <v>30</v>
      </c>
      <c r="V2984">
        <f t="shared" si="281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 s="8">
        <f t="shared" si="277"/>
        <v>155.24</v>
      </c>
      <c r="Q2985" s="10" t="s">
        <v>8315</v>
      </c>
      <c r="R2985" s="10" t="s">
        <v>8355</v>
      </c>
      <c r="S2985" s="16">
        <f t="shared" si="278"/>
        <v>41894.632361111115</v>
      </c>
      <c r="T2985" s="16">
        <f t="shared" si="279"/>
        <v>41954.674027777779</v>
      </c>
      <c r="U2985">
        <f t="shared" si="280"/>
        <v>60</v>
      </c>
      <c r="V2985">
        <f t="shared" si="281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 s="8">
        <f t="shared" si="277"/>
        <v>115.08</v>
      </c>
      <c r="Q2986" s="10" t="s">
        <v>8315</v>
      </c>
      <c r="R2986" s="10" t="s">
        <v>8355</v>
      </c>
      <c r="S2986" s="16">
        <f t="shared" si="278"/>
        <v>42576.278715277775</v>
      </c>
      <c r="T2986" s="16">
        <f t="shared" si="279"/>
        <v>42606.278715277775</v>
      </c>
      <c r="U2986">
        <f t="shared" si="280"/>
        <v>30</v>
      </c>
      <c r="V2986">
        <f t="shared" si="281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 s="8">
        <f t="shared" si="277"/>
        <v>109.59</v>
      </c>
      <c r="Q2987" s="10" t="s">
        <v>8315</v>
      </c>
      <c r="R2987" s="10" t="s">
        <v>8355</v>
      </c>
      <c r="S2987" s="16">
        <f t="shared" si="278"/>
        <v>42654.973703703698</v>
      </c>
      <c r="T2987" s="16">
        <f t="shared" si="279"/>
        <v>42674.166666666672</v>
      </c>
      <c r="U2987">
        <f t="shared" si="280"/>
        <v>19</v>
      </c>
      <c r="V2987">
        <f t="shared" si="281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 s="8">
        <f t="shared" si="277"/>
        <v>45.21</v>
      </c>
      <c r="Q2988" s="10" t="s">
        <v>8315</v>
      </c>
      <c r="R2988" s="10" t="s">
        <v>8355</v>
      </c>
      <c r="S2988" s="16">
        <f t="shared" si="278"/>
        <v>42431.500069444446</v>
      </c>
      <c r="T2988" s="16">
        <f t="shared" si="279"/>
        <v>42491.458402777775</v>
      </c>
      <c r="U2988">
        <f t="shared" si="280"/>
        <v>60</v>
      </c>
      <c r="V2988">
        <f t="shared" si="281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 s="8">
        <f t="shared" si="277"/>
        <v>104.15</v>
      </c>
      <c r="Q2989" s="10" t="s">
        <v>8315</v>
      </c>
      <c r="R2989" s="10" t="s">
        <v>8355</v>
      </c>
      <c r="S2989" s="16">
        <f t="shared" si="278"/>
        <v>42627.307303240741</v>
      </c>
      <c r="T2989" s="16">
        <f t="shared" si="279"/>
        <v>42656</v>
      </c>
      <c r="U2989">
        <f t="shared" si="280"/>
        <v>29</v>
      </c>
      <c r="V2989">
        <f t="shared" si="281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 s="8">
        <f t="shared" si="277"/>
        <v>35.71</v>
      </c>
      <c r="Q2990" s="10" t="s">
        <v>8315</v>
      </c>
      <c r="R2990" s="10" t="s">
        <v>8355</v>
      </c>
      <c r="S2990" s="16">
        <f t="shared" si="278"/>
        <v>42511.362048611118</v>
      </c>
      <c r="T2990" s="16">
        <f t="shared" si="279"/>
        <v>42541.362048611118</v>
      </c>
      <c r="U2990">
        <f t="shared" si="280"/>
        <v>30</v>
      </c>
      <c r="V2990">
        <f t="shared" si="281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 s="8">
        <f t="shared" si="277"/>
        <v>97</v>
      </c>
      <c r="Q2991" s="10" t="s">
        <v>8315</v>
      </c>
      <c r="R2991" s="10" t="s">
        <v>8355</v>
      </c>
      <c r="S2991" s="16">
        <f t="shared" si="278"/>
        <v>42337.02039351852</v>
      </c>
      <c r="T2991" s="16">
        <f t="shared" si="279"/>
        <v>42359.207638888889</v>
      </c>
      <c r="U2991">
        <f t="shared" si="280"/>
        <v>22</v>
      </c>
      <c r="V2991">
        <f t="shared" si="281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 s="8">
        <f t="shared" si="277"/>
        <v>370.37</v>
      </c>
      <c r="Q2992" s="10" t="s">
        <v>8315</v>
      </c>
      <c r="R2992" s="10" t="s">
        <v>8355</v>
      </c>
      <c r="S2992" s="16">
        <f t="shared" si="278"/>
        <v>42341.57430555555</v>
      </c>
      <c r="T2992" s="16">
        <f t="shared" si="279"/>
        <v>42376.57430555555</v>
      </c>
      <c r="U2992">
        <f t="shared" si="280"/>
        <v>35</v>
      </c>
      <c r="V2992">
        <f t="shared" si="281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 s="8">
        <f t="shared" si="277"/>
        <v>94.41</v>
      </c>
      <c r="Q2993" s="10" t="s">
        <v>8315</v>
      </c>
      <c r="R2993" s="10" t="s">
        <v>8355</v>
      </c>
      <c r="S2993" s="16">
        <f t="shared" si="278"/>
        <v>42740.837152777778</v>
      </c>
      <c r="T2993" s="16">
        <f t="shared" si="279"/>
        <v>42762.837152777778</v>
      </c>
      <c r="U2993">
        <f t="shared" si="280"/>
        <v>22</v>
      </c>
      <c r="V2993">
        <f t="shared" si="281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 s="8">
        <f t="shared" si="277"/>
        <v>48.98</v>
      </c>
      <c r="Q2994" s="10" t="s">
        <v>8315</v>
      </c>
      <c r="R2994" s="10" t="s">
        <v>8355</v>
      </c>
      <c r="S2994" s="16">
        <f t="shared" si="278"/>
        <v>42622.767476851848</v>
      </c>
      <c r="T2994" s="16">
        <f t="shared" si="279"/>
        <v>42652.767476851848</v>
      </c>
      <c r="U2994">
        <f t="shared" si="280"/>
        <v>30</v>
      </c>
      <c r="V2994">
        <f t="shared" si="281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 s="8">
        <f t="shared" si="277"/>
        <v>45.59</v>
      </c>
      <c r="Q2995" s="10" t="s">
        <v>8315</v>
      </c>
      <c r="R2995" s="10" t="s">
        <v>8355</v>
      </c>
      <c r="S2995" s="16">
        <f t="shared" si="278"/>
        <v>42390.838738425926</v>
      </c>
      <c r="T2995" s="16">
        <f t="shared" si="279"/>
        <v>42420.838738425926</v>
      </c>
      <c r="U2995">
        <f t="shared" si="280"/>
        <v>30</v>
      </c>
      <c r="V2995">
        <f t="shared" si="281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 s="8">
        <f t="shared" si="277"/>
        <v>23.28</v>
      </c>
      <c r="Q2996" s="10" t="s">
        <v>8315</v>
      </c>
      <c r="R2996" s="10" t="s">
        <v>8355</v>
      </c>
      <c r="S2996" s="16">
        <f t="shared" si="278"/>
        <v>41885.478842592594</v>
      </c>
      <c r="T2996" s="16">
        <f t="shared" si="279"/>
        <v>41915.478842592594</v>
      </c>
      <c r="U2996">
        <f t="shared" si="280"/>
        <v>30</v>
      </c>
      <c r="V2996">
        <f t="shared" si="281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 s="8">
        <f t="shared" si="277"/>
        <v>63.23</v>
      </c>
      <c r="Q2997" s="10" t="s">
        <v>8315</v>
      </c>
      <c r="R2997" s="10" t="s">
        <v>8355</v>
      </c>
      <c r="S2997" s="16">
        <f t="shared" si="278"/>
        <v>42724.665173611109</v>
      </c>
      <c r="T2997" s="16">
        <f t="shared" si="279"/>
        <v>42754.665173611109</v>
      </c>
      <c r="U2997">
        <f t="shared" si="280"/>
        <v>30</v>
      </c>
      <c r="V2997">
        <f t="shared" si="281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 s="8">
        <f t="shared" si="277"/>
        <v>153.52000000000001</v>
      </c>
      <c r="Q2998" s="10" t="s">
        <v>8315</v>
      </c>
      <c r="R2998" s="10" t="s">
        <v>8355</v>
      </c>
      <c r="S2998" s="16">
        <f t="shared" si="278"/>
        <v>42090.912500000006</v>
      </c>
      <c r="T2998" s="16">
        <f t="shared" si="279"/>
        <v>42150.912500000006</v>
      </c>
      <c r="U2998">
        <f t="shared" si="280"/>
        <v>60</v>
      </c>
      <c r="V2998">
        <f t="shared" si="281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 s="8">
        <f t="shared" si="277"/>
        <v>90.2</v>
      </c>
      <c r="Q2999" s="10" t="s">
        <v>8315</v>
      </c>
      <c r="R2999" s="10" t="s">
        <v>8355</v>
      </c>
      <c r="S2999" s="16">
        <f t="shared" si="278"/>
        <v>42775.733715277776</v>
      </c>
      <c r="T2999" s="16">
        <f t="shared" si="279"/>
        <v>42793.207638888889</v>
      </c>
      <c r="U2999">
        <f t="shared" si="280"/>
        <v>17</v>
      </c>
      <c r="V2999">
        <f t="shared" si="281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 s="8">
        <f t="shared" si="277"/>
        <v>118.97</v>
      </c>
      <c r="Q3000" s="10" t="s">
        <v>8315</v>
      </c>
      <c r="R3000" s="10" t="s">
        <v>8355</v>
      </c>
      <c r="S3000" s="16">
        <f t="shared" si="278"/>
        <v>41778.193622685183</v>
      </c>
      <c r="T3000" s="16">
        <f t="shared" si="279"/>
        <v>41806.184027777781</v>
      </c>
      <c r="U3000">
        <f t="shared" si="280"/>
        <v>28</v>
      </c>
      <c r="V3000">
        <f t="shared" si="281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 s="8">
        <f t="shared" si="277"/>
        <v>80.25</v>
      </c>
      <c r="Q3001" s="10" t="s">
        <v>8315</v>
      </c>
      <c r="R3001" s="10" t="s">
        <v>8355</v>
      </c>
      <c r="S3001" s="16">
        <f t="shared" si="278"/>
        <v>42780.740277777775</v>
      </c>
      <c r="T3001" s="16">
        <f t="shared" si="279"/>
        <v>42795.083333333328</v>
      </c>
      <c r="U3001">
        <f t="shared" si="280"/>
        <v>14</v>
      </c>
      <c r="V3001">
        <f t="shared" si="281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 s="8">
        <f t="shared" si="277"/>
        <v>62.5</v>
      </c>
      <c r="Q3002" s="10" t="s">
        <v>8315</v>
      </c>
      <c r="R3002" s="10" t="s">
        <v>8355</v>
      </c>
      <c r="S3002" s="16">
        <f t="shared" si="278"/>
        <v>42752.827199074076</v>
      </c>
      <c r="T3002" s="16">
        <f t="shared" si="279"/>
        <v>42766.75</v>
      </c>
      <c r="U3002">
        <f t="shared" si="280"/>
        <v>14</v>
      </c>
      <c r="V3002">
        <f t="shared" si="281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 s="8">
        <f t="shared" si="277"/>
        <v>131.38</v>
      </c>
      <c r="Q3003" s="10" t="s">
        <v>8315</v>
      </c>
      <c r="R3003" s="10" t="s">
        <v>8355</v>
      </c>
      <c r="S3003" s="16">
        <f t="shared" si="278"/>
        <v>42534.895625000005</v>
      </c>
      <c r="T3003" s="16">
        <f t="shared" si="279"/>
        <v>42564.895625000005</v>
      </c>
      <c r="U3003">
        <f t="shared" si="280"/>
        <v>30</v>
      </c>
      <c r="V3003">
        <f t="shared" si="281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 s="8">
        <f t="shared" si="277"/>
        <v>73.03</v>
      </c>
      <c r="Q3004" s="10" t="s">
        <v>8315</v>
      </c>
      <c r="R3004" s="10" t="s">
        <v>8355</v>
      </c>
      <c r="S3004" s="16">
        <f t="shared" si="278"/>
        <v>41239.83625</v>
      </c>
      <c r="T3004" s="16">
        <f t="shared" si="279"/>
        <v>41269.83625</v>
      </c>
      <c r="U3004">
        <f t="shared" si="280"/>
        <v>30</v>
      </c>
      <c r="V3004">
        <f t="shared" si="281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 s="8">
        <f t="shared" si="277"/>
        <v>178.53</v>
      </c>
      <c r="Q3005" s="10" t="s">
        <v>8315</v>
      </c>
      <c r="R3005" s="10" t="s">
        <v>8355</v>
      </c>
      <c r="S3005" s="16">
        <f t="shared" si="278"/>
        <v>42398.849259259259</v>
      </c>
      <c r="T3005" s="16">
        <f t="shared" si="279"/>
        <v>42430.249305555553</v>
      </c>
      <c r="U3005">
        <f t="shared" si="280"/>
        <v>31</v>
      </c>
      <c r="V3005">
        <f t="shared" si="281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 s="8">
        <f t="shared" si="277"/>
        <v>162.91</v>
      </c>
      <c r="Q3006" s="10" t="s">
        <v>8315</v>
      </c>
      <c r="R3006" s="10" t="s">
        <v>8355</v>
      </c>
      <c r="S3006" s="16">
        <f t="shared" si="278"/>
        <v>41928.881064814814</v>
      </c>
      <c r="T3006" s="16">
        <f t="shared" si="279"/>
        <v>41958.922731481478</v>
      </c>
      <c r="U3006">
        <f t="shared" si="280"/>
        <v>30</v>
      </c>
      <c r="V3006">
        <f t="shared" si="281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 s="8">
        <f t="shared" si="277"/>
        <v>108.24</v>
      </c>
      <c r="Q3007" s="10" t="s">
        <v>8315</v>
      </c>
      <c r="R3007" s="10" t="s">
        <v>8355</v>
      </c>
      <c r="S3007" s="16">
        <f t="shared" si="278"/>
        <v>41888.674826388888</v>
      </c>
      <c r="T3007" s="16">
        <f t="shared" si="279"/>
        <v>41918.674826388888</v>
      </c>
      <c r="U3007">
        <f t="shared" si="280"/>
        <v>30</v>
      </c>
      <c r="V3007">
        <f t="shared" si="281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 s="8">
        <f t="shared" si="277"/>
        <v>88.87</v>
      </c>
      <c r="Q3008" s="10" t="s">
        <v>8315</v>
      </c>
      <c r="R3008" s="10" t="s">
        <v>8355</v>
      </c>
      <c r="S3008" s="16">
        <f t="shared" si="278"/>
        <v>41957.756840277783</v>
      </c>
      <c r="T3008" s="16">
        <f t="shared" si="279"/>
        <v>41987.756840277783</v>
      </c>
      <c r="U3008">
        <f t="shared" si="280"/>
        <v>30</v>
      </c>
      <c r="V3008">
        <f t="shared" si="281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 s="8">
        <f t="shared" si="277"/>
        <v>54</v>
      </c>
      <c r="Q3009" s="10" t="s">
        <v>8315</v>
      </c>
      <c r="R3009" s="10" t="s">
        <v>8355</v>
      </c>
      <c r="S3009" s="16">
        <f t="shared" si="278"/>
        <v>42098.216238425928</v>
      </c>
      <c r="T3009" s="16">
        <f t="shared" si="279"/>
        <v>42119.216238425928</v>
      </c>
      <c r="U3009">
        <f t="shared" si="280"/>
        <v>21</v>
      </c>
      <c r="V3009">
        <f t="shared" si="281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ROUND((E3010/D3010)*100, 0)</f>
        <v>101</v>
      </c>
      <c r="P3010" s="8">
        <f t="shared" ref="P3010:P3073" si="283">IFERROR(ROUND(E3010/L3010, 2), 0)</f>
        <v>116.73</v>
      </c>
      <c r="Q3010" s="10" t="s">
        <v>8315</v>
      </c>
      <c r="R3010" s="10" t="s">
        <v>8355</v>
      </c>
      <c r="S3010" s="16">
        <f t="shared" ref="S3010:S3073" si="284">(J3010/60/60/24)+DATE(1970, 1, 1)</f>
        <v>42360.212025462963</v>
      </c>
      <c r="T3010" s="16">
        <f t="shared" ref="T3010:T3073" si="285">(I3010/60/60/24)+DATE(1970, 1, 1)</f>
        <v>42390.212025462963</v>
      </c>
      <c r="U3010">
        <f t="shared" si="280"/>
        <v>30</v>
      </c>
      <c r="V3010">
        <f t="shared" si="281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 s="8">
        <f t="shared" si="283"/>
        <v>233.9</v>
      </c>
      <c r="Q3011" s="10" t="s">
        <v>8315</v>
      </c>
      <c r="R3011" s="10" t="s">
        <v>8355</v>
      </c>
      <c r="S3011" s="16">
        <f t="shared" si="284"/>
        <v>41939.569907407407</v>
      </c>
      <c r="T3011" s="16">
        <f t="shared" si="285"/>
        <v>41969.611574074079</v>
      </c>
      <c r="U3011">
        <f t="shared" ref="U3011:U3074" si="286">ROUND(T3011-S3011, 0)</f>
        <v>30</v>
      </c>
      <c r="V3011">
        <f t="shared" ref="V3011:V3074" si="287">YEAR($S3011)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 s="8">
        <f t="shared" si="283"/>
        <v>158</v>
      </c>
      <c r="Q3012" s="10" t="s">
        <v>8315</v>
      </c>
      <c r="R3012" s="10" t="s">
        <v>8355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60</v>
      </c>
      <c r="V3012">
        <f t="shared" si="287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 s="8">
        <f t="shared" si="283"/>
        <v>14.84</v>
      </c>
      <c r="Q3013" s="10" t="s">
        <v>8315</v>
      </c>
      <c r="R3013" s="10" t="s">
        <v>8355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27</v>
      </c>
      <c r="V3013">
        <f t="shared" si="287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 s="8">
        <f t="shared" si="283"/>
        <v>85.18</v>
      </c>
      <c r="Q3014" s="10" t="s">
        <v>8315</v>
      </c>
      <c r="R3014" s="10" t="s">
        <v>8355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21</v>
      </c>
      <c r="V3014">
        <f t="shared" si="287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 s="8">
        <f t="shared" si="283"/>
        <v>146.69</v>
      </c>
      <c r="Q3015" s="10" t="s">
        <v>8315</v>
      </c>
      <c r="R3015" s="10" t="s">
        <v>8355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30</v>
      </c>
      <c r="V3015">
        <f t="shared" si="287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 s="8">
        <f t="shared" si="283"/>
        <v>50.76</v>
      </c>
      <c r="Q3016" s="10" t="s">
        <v>8315</v>
      </c>
      <c r="R3016" s="10" t="s">
        <v>8355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28</v>
      </c>
      <c r="V3016">
        <f t="shared" si="287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 s="8">
        <f t="shared" si="283"/>
        <v>87.7</v>
      </c>
      <c r="Q3017" s="10" t="s">
        <v>8315</v>
      </c>
      <c r="R3017" s="10" t="s">
        <v>8355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15</v>
      </c>
      <c r="V3017">
        <f t="shared" si="287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 s="8">
        <f t="shared" si="283"/>
        <v>242.28</v>
      </c>
      <c r="Q3018" s="10" t="s">
        <v>8315</v>
      </c>
      <c r="R3018" s="10" t="s">
        <v>8355</v>
      </c>
      <c r="S3018" s="16">
        <f t="shared" si="284"/>
        <v>41778.548055555555</v>
      </c>
      <c r="T3018" s="16">
        <f t="shared" si="285"/>
        <v>41838.548055555555</v>
      </c>
      <c r="U3018">
        <f t="shared" si="286"/>
        <v>60</v>
      </c>
      <c r="V3018">
        <f t="shared" si="287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 s="8">
        <f t="shared" si="283"/>
        <v>146.44999999999999</v>
      </c>
      <c r="Q3019" s="10" t="s">
        <v>8315</v>
      </c>
      <c r="R3019" s="10" t="s">
        <v>8355</v>
      </c>
      <c r="S3019" s="16">
        <f t="shared" si="284"/>
        <v>41841.850034722222</v>
      </c>
      <c r="T3019" s="16">
        <f t="shared" si="285"/>
        <v>41871.850034722222</v>
      </c>
      <c r="U3019">
        <f t="shared" si="286"/>
        <v>30</v>
      </c>
      <c r="V3019">
        <f t="shared" si="287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 s="8">
        <f t="shared" si="283"/>
        <v>103.17</v>
      </c>
      <c r="Q3020" s="10" t="s">
        <v>8315</v>
      </c>
      <c r="R3020" s="10" t="s">
        <v>8355</v>
      </c>
      <c r="S3020" s="16">
        <f t="shared" si="284"/>
        <v>42163.29833333334</v>
      </c>
      <c r="T3020" s="16">
        <f t="shared" si="285"/>
        <v>42205.916666666672</v>
      </c>
      <c r="U3020">
        <f t="shared" si="286"/>
        <v>43</v>
      </c>
      <c r="V3020">
        <f t="shared" si="287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 s="8">
        <f t="shared" si="283"/>
        <v>80.459999999999994</v>
      </c>
      <c r="Q3021" s="10" t="s">
        <v>8315</v>
      </c>
      <c r="R3021" s="10" t="s">
        <v>8355</v>
      </c>
      <c r="S3021" s="16">
        <f t="shared" si="284"/>
        <v>41758.833564814813</v>
      </c>
      <c r="T3021" s="16">
        <f t="shared" si="285"/>
        <v>41786.125</v>
      </c>
      <c r="U3021">
        <f t="shared" si="286"/>
        <v>27</v>
      </c>
      <c r="V3021">
        <f t="shared" si="287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 s="8">
        <f t="shared" si="283"/>
        <v>234.67</v>
      </c>
      <c r="Q3022" s="10" t="s">
        <v>8315</v>
      </c>
      <c r="R3022" s="10" t="s">
        <v>8355</v>
      </c>
      <c r="S3022" s="16">
        <f t="shared" si="284"/>
        <v>42170.846446759257</v>
      </c>
      <c r="T3022" s="16">
        <f t="shared" si="285"/>
        <v>42230.846446759257</v>
      </c>
      <c r="U3022">
        <f t="shared" si="286"/>
        <v>60</v>
      </c>
      <c r="V3022">
        <f t="shared" si="287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 s="8">
        <f t="shared" si="283"/>
        <v>50.69</v>
      </c>
      <c r="Q3023" s="10" t="s">
        <v>8315</v>
      </c>
      <c r="R3023" s="10" t="s">
        <v>8355</v>
      </c>
      <c r="S3023" s="16">
        <f t="shared" si="284"/>
        <v>42660.618854166663</v>
      </c>
      <c r="T3023" s="16">
        <f t="shared" si="285"/>
        <v>42696.249305555553</v>
      </c>
      <c r="U3023">
        <f t="shared" si="286"/>
        <v>36</v>
      </c>
      <c r="V3023">
        <f t="shared" si="287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 s="8">
        <f t="shared" si="283"/>
        <v>162.71</v>
      </c>
      <c r="Q3024" s="10" t="s">
        <v>8315</v>
      </c>
      <c r="R3024" s="10" t="s">
        <v>8355</v>
      </c>
      <c r="S3024" s="16">
        <f t="shared" si="284"/>
        <v>42564.95380787037</v>
      </c>
      <c r="T3024" s="16">
        <f t="shared" si="285"/>
        <v>42609.95380787037</v>
      </c>
      <c r="U3024">
        <f t="shared" si="286"/>
        <v>45</v>
      </c>
      <c r="V3024">
        <f t="shared" si="287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 s="8">
        <f t="shared" si="283"/>
        <v>120.17</v>
      </c>
      <c r="Q3025" s="10" t="s">
        <v>8315</v>
      </c>
      <c r="R3025" s="10" t="s">
        <v>8355</v>
      </c>
      <c r="S3025" s="16">
        <f t="shared" si="284"/>
        <v>42121.675763888896</v>
      </c>
      <c r="T3025" s="16">
        <f t="shared" si="285"/>
        <v>42166.675763888896</v>
      </c>
      <c r="U3025">
        <f t="shared" si="286"/>
        <v>45</v>
      </c>
      <c r="V3025">
        <f t="shared" si="287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 s="8">
        <f t="shared" si="283"/>
        <v>67.7</v>
      </c>
      <c r="Q3026" s="10" t="s">
        <v>8315</v>
      </c>
      <c r="R3026" s="10" t="s">
        <v>8355</v>
      </c>
      <c r="S3026" s="16">
        <f t="shared" si="284"/>
        <v>41158.993923611109</v>
      </c>
      <c r="T3026" s="16">
        <f t="shared" si="285"/>
        <v>41188.993923611109</v>
      </c>
      <c r="U3026">
        <f t="shared" si="286"/>
        <v>30</v>
      </c>
      <c r="V3026">
        <f t="shared" si="287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 s="8">
        <f t="shared" si="283"/>
        <v>52.1</v>
      </c>
      <c r="Q3027" s="10" t="s">
        <v>8315</v>
      </c>
      <c r="R3027" s="10" t="s">
        <v>8355</v>
      </c>
      <c r="S3027" s="16">
        <f t="shared" si="284"/>
        <v>41761.509409722225</v>
      </c>
      <c r="T3027" s="16">
        <f t="shared" si="285"/>
        <v>41789.666666666664</v>
      </c>
      <c r="U3027">
        <f t="shared" si="286"/>
        <v>28</v>
      </c>
      <c r="V3027">
        <f t="shared" si="287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 s="8">
        <f t="shared" si="283"/>
        <v>51.6</v>
      </c>
      <c r="Q3028" s="10" t="s">
        <v>8315</v>
      </c>
      <c r="R3028" s="10" t="s">
        <v>8355</v>
      </c>
      <c r="S3028" s="16">
        <f t="shared" si="284"/>
        <v>42783.459398148145</v>
      </c>
      <c r="T3028" s="16">
        <f t="shared" si="285"/>
        <v>42797.459398148145</v>
      </c>
      <c r="U3028">
        <f t="shared" si="286"/>
        <v>14</v>
      </c>
      <c r="V3028">
        <f t="shared" si="287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 s="8">
        <f t="shared" si="283"/>
        <v>164.3</v>
      </c>
      <c r="Q3029" s="10" t="s">
        <v>8315</v>
      </c>
      <c r="R3029" s="10" t="s">
        <v>8355</v>
      </c>
      <c r="S3029" s="16">
        <f t="shared" si="284"/>
        <v>42053.704293981486</v>
      </c>
      <c r="T3029" s="16">
        <f t="shared" si="285"/>
        <v>42083.662627314814</v>
      </c>
      <c r="U3029">
        <f t="shared" si="286"/>
        <v>30</v>
      </c>
      <c r="V3029">
        <f t="shared" si="287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 s="8">
        <f t="shared" si="283"/>
        <v>84.86</v>
      </c>
      <c r="Q3030" s="10" t="s">
        <v>8315</v>
      </c>
      <c r="R3030" s="10" t="s">
        <v>8355</v>
      </c>
      <c r="S3030" s="16">
        <f t="shared" si="284"/>
        <v>42567.264178240745</v>
      </c>
      <c r="T3030" s="16">
        <f t="shared" si="285"/>
        <v>42597.264178240745</v>
      </c>
      <c r="U3030">
        <f t="shared" si="286"/>
        <v>30</v>
      </c>
      <c r="V3030">
        <f t="shared" si="287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 s="8">
        <f t="shared" si="283"/>
        <v>94.55</v>
      </c>
      <c r="Q3031" s="10" t="s">
        <v>8315</v>
      </c>
      <c r="R3031" s="10" t="s">
        <v>8355</v>
      </c>
      <c r="S3031" s="16">
        <f t="shared" si="284"/>
        <v>41932.708877314813</v>
      </c>
      <c r="T3031" s="16">
        <f t="shared" si="285"/>
        <v>41961.190972222219</v>
      </c>
      <c r="U3031">
        <f t="shared" si="286"/>
        <v>28</v>
      </c>
      <c r="V3031">
        <f t="shared" si="287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 s="8">
        <f t="shared" si="283"/>
        <v>45.54</v>
      </c>
      <c r="Q3032" s="10" t="s">
        <v>8315</v>
      </c>
      <c r="R3032" s="10" t="s">
        <v>8355</v>
      </c>
      <c r="S3032" s="16">
        <f t="shared" si="284"/>
        <v>42233.747349537036</v>
      </c>
      <c r="T3032" s="16">
        <f t="shared" si="285"/>
        <v>42263.747349537036</v>
      </c>
      <c r="U3032">
        <f t="shared" si="286"/>
        <v>30</v>
      </c>
      <c r="V3032">
        <f t="shared" si="287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 s="8">
        <f t="shared" si="283"/>
        <v>51.72</v>
      </c>
      <c r="Q3033" s="10" t="s">
        <v>8315</v>
      </c>
      <c r="R3033" s="10" t="s">
        <v>8355</v>
      </c>
      <c r="S3033" s="16">
        <f t="shared" si="284"/>
        <v>42597.882488425923</v>
      </c>
      <c r="T3033" s="16">
        <f t="shared" si="285"/>
        <v>42657.882488425923</v>
      </c>
      <c r="U3033">
        <f t="shared" si="286"/>
        <v>60</v>
      </c>
      <c r="V3033">
        <f t="shared" si="287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 s="8">
        <f t="shared" si="283"/>
        <v>50.88</v>
      </c>
      <c r="Q3034" s="10" t="s">
        <v>8315</v>
      </c>
      <c r="R3034" s="10" t="s">
        <v>8355</v>
      </c>
      <c r="S3034" s="16">
        <f t="shared" si="284"/>
        <v>42228.044664351852</v>
      </c>
      <c r="T3034" s="16">
        <f t="shared" si="285"/>
        <v>42258.044664351852</v>
      </c>
      <c r="U3034">
        <f t="shared" si="286"/>
        <v>30</v>
      </c>
      <c r="V3034">
        <f t="shared" si="287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 s="8">
        <f t="shared" si="283"/>
        <v>191.13</v>
      </c>
      <c r="Q3035" s="10" t="s">
        <v>8315</v>
      </c>
      <c r="R3035" s="10" t="s">
        <v>8355</v>
      </c>
      <c r="S3035" s="16">
        <f t="shared" si="284"/>
        <v>42570.110243055555</v>
      </c>
      <c r="T3035" s="16">
        <f t="shared" si="285"/>
        <v>42600.110243055555</v>
      </c>
      <c r="U3035">
        <f t="shared" si="286"/>
        <v>30</v>
      </c>
      <c r="V3035">
        <f t="shared" si="287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 s="8">
        <f t="shared" si="283"/>
        <v>89.31</v>
      </c>
      <c r="Q3036" s="10" t="s">
        <v>8315</v>
      </c>
      <c r="R3036" s="10" t="s">
        <v>8355</v>
      </c>
      <c r="S3036" s="16">
        <f t="shared" si="284"/>
        <v>42644.535358796296</v>
      </c>
      <c r="T3036" s="16">
        <f t="shared" si="285"/>
        <v>42675.165972222225</v>
      </c>
      <c r="U3036">
        <f t="shared" si="286"/>
        <v>31</v>
      </c>
      <c r="V3036">
        <f t="shared" si="287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 s="8">
        <f t="shared" si="283"/>
        <v>88.59</v>
      </c>
      <c r="Q3037" s="10" t="s">
        <v>8315</v>
      </c>
      <c r="R3037" s="10" t="s">
        <v>8355</v>
      </c>
      <c r="S3037" s="16">
        <f t="shared" si="284"/>
        <v>41368.560289351852</v>
      </c>
      <c r="T3037" s="16">
        <f t="shared" si="285"/>
        <v>41398.560289351852</v>
      </c>
      <c r="U3037">
        <f t="shared" si="286"/>
        <v>30</v>
      </c>
      <c r="V3037">
        <f t="shared" si="287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 s="8">
        <f t="shared" si="283"/>
        <v>96.3</v>
      </c>
      <c r="Q3038" s="10" t="s">
        <v>8315</v>
      </c>
      <c r="R3038" s="10" t="s">
        <v>8355</v>
      </c>
      <c r="S3038" s="16">
        <f t="shared" si="284"/>
        <v>41466.785231481481</v>
      </c>
      <c r="T3038" s="16">
        <f t="shared" si="285"/>
        <v>41502.499305555553</v>
      </c>
      <c r="U3038">
        <f t="shared" si="286"/>
        <v>36</v>
      </c>
      <c r="V3038">
        <f t="shared" si="287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 s="8">
        <f t="shared" si="283"/>
        <v>33.31</v>
      </c>
      <c r="Q3039" s="10" t="s">
        <v>8315</v>
      </c>
      <c r="R3039" s="10" t="s">
        <v>8355</v>
      </c>
      <c r="S3039" s="16">
        <f t="shared" si="284"/>
        <v>40378.893206018518</v>
      </c>
      <c r="T3039" s="16">
        <f t="shared" si="285"/>
        <v>40453.207638888889</v>
      </c>
      <c r="U3039">
        <f t="shared" si="286"/>
        <v>74</v>
      </c>
      <c r="V3039">
        <f t="shared" si="287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 s="8">
        <f t="shared" si="283"/>
        <v>37.22</v>
      </c>
      <c r="Q3040" s="10" t="s">
        <v>8315</v>
      </c>
      <c r="R3040" s="10" t="s">
        <v>8355</v>
      </c>
      <c r="S3040" s="16">
        <f t="shared" si="284"/>
        <v>42373.252280092594</v>
      </c>
      <c r="T3040" s="16">
        <f t="shared" si="285"/>
        <v>42433.252280092594</v>
      </c>
      <c r="U3040">
        <f t="shared" si="286"/>
        <v>60</v>
      </c>
      <c r="V3040">
        <f t="shared" si="287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 s="8">
        <f t="shared" si="283"/>
        <v>92.13</v>
      </c>
      <c r="Q3041" s="10" t="s">
        <v>8315</v>
      </c>
      <c r="R3041" s="10" t="s">
        <v>8355</v>
      </c>
      <c r="S3041" s="16">
        <f t="shared" si="284"/>
        <v>41610.794421296298</v>
      </c>
      <c r="T3041" s="16">
        <f t="shared" si="285"/>
        <v>41637.332638888889</v>
      </c>
      <c r="U3041">
        <f t="shared" si="286"/>
        <v>27</v>
      </c>
      <c r="V3041">
        <f t="shared" si="287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 s="8">
        <f t="shared" si="283"/>
        <v>76.790000000000006</v>
      </c>
      <c r="Q3042" s="10" t="s">
        <v>8315</v>
      </c>
      <c r="R3042" s="10" t="s">
        <v>8355</v>
      </c>
      <c r="S3042" s="16">
        <f t="shared" si="284"/>
        <v>42177.791909722218</v>
      </c>
      <c r="T3042" s="16">
        <f t="shared" si="285"/>
        <v>42181.958333333328</v>
      </c>
      <c r="U3042">
        <f t="shared" si="286"/>
        <v>4</v>
      </c>
      <c r="V3042">
        <f t="shared" si="287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 s="8">
        <f t="shared" si="283"/>
        <v>96.53</v>
      </c>
      <c r="Q3043" s="10" t="s">
        <v>8315</v>
      </c>
      <c r="R3043" s="10" t="s">
        <v>8355</v>
      </c>
      <c r="S3043" s="16">
        <f t="shared" si="284"/>
        <v>42359.868611111116</v>
      </c>
      <c r="T3043" s="16">
        <f t="shared" si="285"/>
        <v>42389.868611111116</v>
      </c>
      <c r="U3043">
        <f t="shared" si="286"/>
        <v>30</v>
      </c>
      <c r="V3043">
        <f t="shared" si="287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 s="8">
        <f t="shared" si="283"/>
        <v>51.89</v>
      </c>
      <c r="Q3044" s="10" t="s">
        <v>8315</v>
      </c>
      <c r="R3044" s="10" t="s">
        <v>8355</v>
      </c>
      <c r="S3044" s="16">
        <f t="shared" si="284"/>
        <v>42253.688043981485</v>
      </c>
      <c r="T3044" s="16">
        <f t="shared" si="285"/>
        <v>42283.688043981485</v>
      </c>
      <c r="U3044">
        <f t="shared" si="286"/>
        <v>30</v>
      </c>
      <c r="V3044">
        <f t="shared" si="287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 s="8">
        <f t="shared" si="283"/>
        <v>128.91</v>
      </c>
      <c r="Q3045" s="10" t="s">
        <v>8315</v>
      </c>
      <c r="R3045" s="10" t="s">
        <v>8355</v>
      </c>
      <c r="S3045" s="16">
        <f t="shared" si="284"/>
        <v>42083.070590277777</v>
      </c>
      <c r="T3045" s="16">
        <f t="shared" si="285"/>
        <v>42110.118055555555</v>
      </c>
      <c r="U3045">
        <f t="shared" si="286"/>
        <v>27</v>
      </c>
      <c r="V3045">
        <f t="shared" si="287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 s="8">
        <f t="shared" si="283"/>
        <v>84.11</v>
      </c>
      <c r="Q3046" s="10" t="s">
        <v>8315</v>
      </c>
      <c r="R3046" s="10" t="s">
        <v>8355</v>
      </c>
      <c r="S3046" s="16">
        <f t="shared" si="284"/>
        <v>42387.7268287037</v>
      </c>
      <c r="T3046" s="16">
        <f t="shared" si="285"/>
        <v>42402.7268287037</v>
      </c>
      <c r="U3046">
        <f t="shared" si="286"/>
        <v>15</v>
      </c>
      <c r="V3046">
        <f t="shared" si="287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 s="8">
        <f t="shared" si="283"/>
        <v>82.94</v>
      </c>
      <c r="Q3047" s="10" t="s">
        <v>8315</v>
      </c>
      <c r="R3047" s="10" t="s">
        <v>8355</v>
      </c>
      <c r="S3047" s="16">
        <f t="shared" si="284"/>
        <v>41843.155729166669</v>
      </c>
      <c r="T3047" s="16">
        <f t="shared" si="285"/>
        <v>41873.155729166669</v>
      </c>
      <c r="U3047">
        <f t="shared" si="286"/>
        <v>30</v>
      </c>
      <c r="V3047">
        <f t="shared" si="287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 s="8">
        <f t="shared" si="283"/>
        <v>259.95</v>
      </c>
      <c r="Q3048" s="10" t="s">
        <v>8315</v>
      </c>
      <c r="R3048" s="10" t="s">
        <v>8355</v>
      </c>
      <c r="S3048" s="16">
        <f t="shared" si="284"/>
        <v>41862.803078703706</v>
      </c>
      <c r="T3048" s="16">
        <f t="shared" si="285"/>
        <v>41892.202777777777</v>
      </c>
      <c r="U3048">
        <f t="shared" si="286"/>
        <v>29</v>
      </c>
      <c r="V3048">
        <f t="shared" si="287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 s="8">
        <f t="shared" si="283"/>
        <v>37.25</v>
      </c>
      <c r="Q3049" s="10" t="s">
        <v>8315</v>
      </c>
      <c r="R3049" s="10" t="s">
        <v>8355</v>
      </c>
      <c r="S3049" s="16">
        <f t="shared" si="284"/>
        <v>42443.989050925928</v>
      </c>
      <c r="T3049" s="16">
        <f t="shared" si="285"/>
        <v>42487.552777777775</v>
      </c>
      <c r="U3049">
        <f t="shared" si="286"/>
        <v>44</v>
      </c>
      <c r="V3049">
        <f t="shared" si="287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 s="8">
        <f t="shared" si="283"/>
        <v>177.02</v>
      </c>
      <c r="Q3050" s="10" t="s">
        <v>8315</v>
      </c>
      <c r="R3050" s="10" t="s">
        <v>8355</v>
      </c>
      <c r="S3050" s="16">
        <f t="shared" si="284"/>
        <v>41975.901180555549</v>
      </c>
      <c r="T3050" s="16">
        <f t="shared" si="285"/>
        <v>42004.890277777777</v>
      </c>
      <c r="U3050">
        <f t="shared" si="286"/>
        <v>29</v>
      </c>
      <c r="V3050">
        <f t="shared" si="287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 s="8">
        <f t="shared" si="283"/>
        <v>74.069999999999993</v>
      </c>
      <c r="Q3051" s="10" t="s">
        <v>8315</v>
      </c>
      <c r="R3051" s="10" t="s">
        <v>8355</v>
      </c>
      <c r="S3051" s="16">
        <f t="shared" si="284"/>
        <v>42139.014525462961</v>
      </c>
      <c r="T3051" s="16">
        <f t="shared" si="285"/>
        <v>42169.014525462961</v>
      </c>
      <c r="U3051">
        <f t="shared" si="286"/>
        <v>30</v>
      </c>
      <c r="V3051">
        <f t="shared" si="287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 s="8">
        <f t="shared" si="283"/>
        <v>70.67</v>
      </c>
      <c r="Q3052" s="10" t="s">
        <v>8315</v>
      </c>
      <c r="R3052" s="10" t="s">
        <v>8355</v>
      </c>
      <c r="S3052" s="16">
        <f t="shared" si="284"/>
        <v>42465.16851851852</v>
      </c>
      <c r="T3052" s="16">
        <f t="shared" si="285"/>
        <v>42495.16851851852</v>
      </c>
      <c r="U3052">
        <f t="shared" si="286"/>
        <v>30</v>
      </c>
      <c r="V3052">
        <f t="shared" si="287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 s="8">
        <f t="shared" si="283"/>
        <v>23.63</v>
      </c>
      <c r="Q3053" s="10" t="s">
        <v>8315</v>
      </c>
      <c r="R3053" s="10" t="s">
        <v>8355</v>
      </c>
      <c r="S3053" s="16">
        <f t="shared" si="284"/>
        <v>42744.416030092587</v>
      </c>
      <c r="T3053" s="16">
        <f t="shared" si="285"/>
        <v>42774.416030092587</v>
      </c>
      <c r="U3053">
        <f t="shared" si="286"/>
        <v>30</v>
      </c>
      <c r="V3053">
        <f t="shared" si="287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 s="8">
        <f t="shared" si="283"/>
        <v>37.5</v>
      </c>
      <c r="Q3054" s="10" t="s">
        <v>8315</v>
      </c>
      <c r="R3054" s="10" t="s">
        <v>8355</v>
      </c>
      <c r="S3054" s="16">
        <f t="shared" si="284"/>
        <v>42122.670069444444</v>
      </c>
      <c r="T3054" s="16">
        <f t="shared" si="285"/>
        <v>42152.665972222225</v>
      </c>
      <c r="U3054">
        <f t="shared" si="286"/>
        <v>30</v>
      </c>
      <c r="V3054">
        <f t="shared" si="287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 s="8">
        <f t="shared" si="283"/>
        <v>13.33</v>
      </c>
      <c r="Q3055" s="10" t="s">
        <v>8315</v>
      </c>
      <c r="R3055" s="10" t="s">
        <v>8355</v>
      </c>
      <c r="S3055" s="16">
        <f t="shared" si="284"/>
        <v>41862.761724537035</v>
      </c>
      <c r="T3055" s="16">
        <f t="shared" si="285"/>
        <v>41914.165972222225</v>
      </c>
      <c r="U3055">
        <f t="shared" si="286"/>
        <v>51</v>
      </c>
      <c r="V3055">
        <f t="shared" si="287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 s="8">
        <f t="shared" si="283"/>
        <v>0</v>
      </c>
      <c r="Q3056" s="10" t="s">
        <v>8315</v>
      </c>
      <c r="R3056" s="10" t="s">
        <v>8355</v>
      </c>
      <c r="S3056" s="16">
        <f t="shared" si="284"/>
        <v>42027.832800925928</v>
      </c>
      <c r="T3056" s="16">
        <f t="shared" si="285"/>
        <v>42065.044444444444</v>
      </c>
      <c r="U3056">
        <f t="shared" si="286"/>
        <v>37</v>
      </c>
      <c r="V3056">
        <f t="shared" si="287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 s="8">
        <f t="shared" si="283"/>
        <v>1</v>
      </c>
      <c r="Q3057" s="10" t="s">
        <v>8315</v>
      </c>
      <c r="R3057" s="10" t="s">
        <v>8355</v>
      </c>
      <c r="S3057" s="16">
        <f t="shared" si="284"/>
        <v>41953.95821759259</v>
      </c>
      <c r="T3057" s="16">
        <f t="shared" si="285"/>
        <v>42013.95821759259</v>
      </c>
      <c r="U3057">
        <f t="shared" si="286"/>
        <v>60</v>
      </c>
      <c r="V3057">
        <f t="shared" si="287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 s="8">
        <f t="shared" si="283"/>
        <v>0</v>
      </c>
      <c r="Q3058" s="10" t="s">
        <v>8315</v>
      </c>
      <c r="R3058" s="10" t="s">
        <v>8355</v>
      </c>
      <c r="S3058" s="16">
        <f t="shared" si="284"/>
        <v>41851.636388888888</v>
      </c>
      <c r="T3058" s="16">
        <f t="shared" si="285"/>
        <v>41911.636388888888</v>
      </c>
      <c r="U3058">
        <f t="shared" si="286"/>
        <v>60</v>
      </c>
      <c r="V3058">
        <f t="shared" si="287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 s="8">
        <f t="shared" si="283"/>
        <v>0</v>
      </c>
      <c r="Q3059" s="10" t="s">
        <v>8315</v>
      </c>
      <c r="R3059" s="10" t="s">
        <v>8355</v>
      </c>
      <c r="S3059" s="16">
        <f t="shared" si="284"/>
        <v>42433.650590277779</v>
      </c>
      <c r="T3059" s="16">
        <f t="shared" si="285"/>
        <v>42463.608923611115</v>
      </c>
      <c r="U3059">
        <f t="shared" si="286"/>
        <v>30</v>
      </c>
      <c r="V3059">
        <f t="shared" si="287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 s="8">
        <f t="shared" si="283"/>
        <v>1</v>
      </c>
      <c r="Q3060" s="10" t="s">
        <v>8315</v>
      </c>
      <c r="R3060" s="10" t="s">
        <v>8355</v>
      </c>
      <c r="S3060" s="16">
        <f t="shared" si="284"/>
        <v>42460.374305555553</v>
      </c>
      <c r="T3060" s="16">
        <f t="shared" si="285"/>
        <v>42510.374305555553</v>
      </c>
      <c r="U3060">
        <f t="shared" si="286"/>
        <v>50</v>
      </c>
      <c r="V3060">
        <f t="shared" si="287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 s="8">
        <f t="shared" si="283"/>
        <v>41</v>
      </c>
      <c r="Q3061" s="10" t="s">
        <v>8315</v>
      </c>
      <c r="R3061" s="10" t="s">
        <v>8355</v>
      </c>
      <c r="S3061" s="16">
        <f t="shared" si="284"/>
        <v>41829.935717592591</v>
      </c>
      <c r="T3061" s="16">
        <f t="shared" si="285"/>
        <v>41859.935717592591</v>
      </c>
      <c r="U3061">
        <f t="shared" si="286"/>
        <v>30</v>
      </c>
      <c r="V3061">
        <f t="shared" si="287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 s="8">
        <f t="shared" si="283"/>
        <v>55.83</v>
      </c>
      <c r="Q3062" s="10" t="s">
        <v>8315</v>
      </c>
      <c r="R3062" s="10" t="s">
        <v>8355</v>
      </c>
      <c r="S3062" s="16">
        <f t="shared" si="284"/>
        <v>42245.274699074071</v>
      </c>
      <c r="T3062" s="16">
        <f t="shared" si="285"/>
        <v>42275.274699074071</v>
      </c>
      <c r="U3062">
        <f t="shared" si="286"/>
        <v>30</v>
      </c>
      <c r="V3062">
        <f t="shared" si="287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 s="8">
        <f t="shared" si="283"/>
        <v>0</v>
      </c>
      <c r="Q3063" s="10" t="s">
        <v>8315</v>
      </c>
      <c r="R3063" s="10" t="s">
        <v>8355</v>
      </c>
      <c r="S3063" s="16">
        <f t="shared" si="284"/>
        <v>41834.784120370372</v>
      </c>
      <c r="T3063" s="16">
        <f t="shared" si="285"/>
        <v>41864.784120370372</v>
      </c>
      <c r="U3063">
        <f t="shared" si="286"/>
        <v>30</v>
      </c>
      <c r="V3063">
        <f t="shared" si="287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 s="8">
        <f t="shared" si="283"/>
        <v>99.76</v>
      </c>
      <c r="Q3064" s="10" t="s">
        <v>8315</v>
      </c>
      <c r="R3064" s="10" t="s">
        <v>8355</v>
      </c>
      <c r="S3064" s="16">
        <f t="shared" si="284"/>
        <v>42248.535787037035</v>
      </c>
      <c r="T3064" s="16">
        <f t="shared" si="285"/>
        <v>42277.75</v>
      </c>
      <c r="U3064">
        <f t="shared" si="286"/>
        <v>29</v>
      </c>
      <c r="V3064">
        <f t="shared" si="287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 s="8">
        <f t="shared" si="283"/>
        <v>25.52</v>
      </c>
      <c r="Q3065" s="10" t="s">
        <v>8315</v>
      </c>
      <c r="R3065" s="10" t="s">
        <v>8355</v>
      </c>
      <c r="S3065" s="16">
        <f t="shared" si="284"/>
        <v>42630.922893518517</v>
      </c>
      <c r="T3065" s="16">
        <f t="shared" si="285"/>
        <v>42665.922893518517</v>
      </c>
      <c r="U3065">
        <f t="shared" si="286"/>
        <v>35</v>
      </c>
      <c r="V3065">
        <f t="shared" si="287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 s="8">
        <f t="shared" si="283"/>
        <v>117.65</v>
      </c>
      <c r="Q3066" s="10" t="s">
        <v>8315</v>
      </c>
      <c r="R3066" s="10" t="s">
        <v>8355</v>
      </c>
      <c r="S3066" s="16">
        <f t="shared" si="284"/>
        <v>42299.130162037036</v>
      </c>
      <c r="T3066" s="16">
        <f t="shared" si="285"/>
        <v>42330.290972222225</v>
      </c>
      <c r="U3066">
        <f t="shared" si="286"/>
        <v>31</v>
      </c>
      <c r="V3066">
        <f t="shared" si="287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 s="8">
        <f t="shared" si="283"/>
        <v>5</v>
      </c>
      <c r="Q3067" s="10" t="s">
        <v>8315</v>
      </c>
      <c r="R3067" s="10" t="s">
        <v>8355</v>
      </c>
      <c r="S3067" s="16">
        <f t="shared" si="284"/>
        <v>41825.055231481485</v>
      </c>
      <c r="T3067" s="16">
        <f t="shared" si="285"/>
        <v>41850.055231481485</v>
      </c>
      <c r="U3067">
        <f t="shared" si="286"/>
        <v>25</v>
      </c>
      <c r="V3067">
        <f t="shared" si="287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 s="8">
        <f t="shared" si="283"/>
        <v>2796.67</v>
      </c>
      <c r="Q3068" s="10" t="s">
        <v>8315</v>
      </c>
      <c r="R3068" s="10" t="s">
        <v>8355</v>
      </c>
      <c r="S3068" s="16">
        <f t="shared" si="284"/>
        <v>42531.228437500002</v>
      </c>
      <c r="T3068" s="16">
        <f t="shared" si="285"/>
        <v>42561.228437500002</v>
      </c>
      <c r="U3068">
        <f t="shared" si="286"/>
        <v>30</v>
      </c>
      <c r="V3068">
        <f t="shared" si="287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 s="8">
        <f t="shared" si="283"/>
        <v>200</v>
      </c>
      <c r="Q3069" s="10" t="s">
        <v>8315</v>
      </c>
      <c r="R3069" s="10" t="s">
        <v>8355</v>
      </c>
      <c r="S3069" s="16">
        <f t="shared" si="284"/>
        <v>42226.938414351855</v>
      </c>
      <c r="T3069" s="16">
        <f t="shared" si="285"/>
        <v>42256.938414351855</v>
      </c>
      <c r="U3069">
        <f t="shared" si="286"/>
        <v>30</v>
      </c>
      <c r="V3069">
        <f t="shared" si="287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 s="8">
        <f t="shared" si="283"/>
        <v>87.5</v>
      </c>
      <c r="Q3070" s="10" t="s">
        <v>8315</v>
      </c>
      <c r="R3070" s="10" t="s">
        <v>8355</v>
      </c>
      <c r="S3070" s="16">
        <f t="shared" si="284"/>
        <v>42263.691574074073</v>
      </c>
      <c r="T3070" s="16">
        <f t="shared" si="285"/>
        <v>42293.691574074073</v>
      </c>
      <c r="U3070">
        <f t="shared" si="286"/>
        <v>30</v>
      </c>
      <c r="V3070">
        <f t="shared" si="287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 s="8">
        <f t="shared" si="283"/>
        <v>20.14</v>
      </c>
      <c r="Q3071" s="10" t="s">
        <v>8315</v>
      </c>
      <c r="R3071" s="10" t="s">
        <v>8355</v>
      </c>
      <c r="S3071" s="16">
        <f t="shared" si="284"/>
        <v>41957.833726851852</v>
      </c>
      <c r="T3071" s="16">
        <f t="shared" si="285"/>
        <v>41987.833726851852</v>
      </c>
      <c r="U3071">
        <f t="shared" si="286"/>
        <v>30</v>
      </c>
      <c r="V3071">
        <f t="shared" si="287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 s="8">
        <f t="shared" si="283"/>
        <v>20.88</v>
      </c>
      <c r="Q3072" s="10" t="s">
        <v>8315</v>
      </c>
      <c r="R3072" s="10" t="s">
        <v>8355</v>
      </c>
      <c r="S3072" s="16">
        <f t="shared" si="284"/>
        <v>42690.733437499999</v>
      </c>
      <c r="T3072" s="16">
        <f t="shared" si="285"/>
        <v>42711.733437499999</v>
      </c>
      <c r="U3072">
        <f t="shared" si="286"/>
        <v>21</v>
      </c>
      <c r="V3072">
        <f t="shared" si="287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 s="8">
        <f t="shared" si="283"/>
        <v>61.31</v>
      </c>
      <c r="Q3073" s="10" t="s">
        <v>8315</v>
      </c>
      <c r="R3073" s="10" t="s">
        <v>8355</v>
      </c>
      <c r="S3073" s="16">
        <f t="shared" si="284"/>
        <v>42097.732418981483</v>
      </c>
      <c r="T3073" s="16">
        <f t="shared" si="285"/>
        <v>42115.249305555553</v>
      </c>
      <c r="U3073">
        <f t="shared" si="286"/>
        <v>18</v>
      </c>
      <c r="V3073">
        <f t="shared" si="287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ROUND((E3074/D3074)*100, 0)</f>
        <v>0</v>
      </c>
      <c r="P3074" s="8">
        <f t="shared" ref="P3074:P3137" si="289">IFERROR(ROUND(E3074/L3074, 2), 0)</f>
        <v>1</v>
      </c>
      <c r="Q3074" s="10" t="s">
        <v>8315</v>
      </c>
      <c r="R3074" s="10" t="s">
        <v>8355</v>
      </c>
      <c r="S3074" s="16">
        <f t="shared" ref="S3074:S3137" si="290">(J3074/60/60/24)+DATE(1970, 1, 1)</f>
        <v>42658.690532407403</v>
      </c>
      <c r="T3074" s="16">
        <f t="shared" ref="T3074:T3137" si="291">(I3074/60/60/24)+DATE(1970, 1, 1)</f>
        <v>42673.073611111111</v>
      </c>
      <c r="U3074">
        <f t="shared" si="286"/>
        <v>14</v>
      </c>
      <c r="V3074">
        <f t="shared" si="287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 s="8">
        <f t="shared" si="289"/>
        <v>92.14</v>
      </c>
      <c r="Q3075" s="10" t="s">
        <v>8315</v>
      </c>
      <c r="R3075" s="10" t="s">
        <v>8355</v>
      </c>
      <c r="S3075" s="16">
        <f t="shared" si="290"/>
        <v>42111.684027777781</v>
      </c>
      <c r="T3075" s="16">
        <f t="shared" si="291"/>
        <v>42169.804861111115</v>
      </c>
      <c r="U3075">
        <f t="shared" ref="U3075:U3138" si="292">ROUND(T3075-S3075, 0)</f>
        <v>58</v>
      </c>
      <c r="V3075">
        <f t="shared" ref="V3075:V3138" si="293">YEAR($S3075)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 s="8">
        <f t="shared" si="289"/>
        <v>7.33</v>
      </c>
      <c r="Q3076" s="10" t="s">
        <v>8315</v>
      </c>
      <c r="R3076" s="10" t="s">
        <v>8355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30</v>
      </c>
      <c r="V3076">
        <f t="shared" si="293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 s="8">
        <f t="shared" si="289"/>
        <v>64.8</v>
      </c>
      <c r="Q3077" s="10" t="s">
        <v>8315</v>
      </c>
      <c r="R3077" s="10" t="s">
        <v>8355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50</v>
      </c>
      <c r="V3077">
        <f t="shared" si="293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 s="8">
        <f t="shared" si="289"/>
        <v>30.12</v>
      </c>
      <c r="Q3078" s="10" t="s">
        <v>8315</v>
      </c>
      <c r="R3078" s="10" t="s">
        <v>8355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60</v>
      </c>
      <c r="V3078">
        <f t="shared" si="293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 s="8">
        <f t="shared" si="289"/>
        <v>52.5</v>
      </c>
      <c r="Q3079" s="10" t="s">
        <v>8315</v>
      </c>
      <c r="R3079" s="10" t="s">
        <v>8355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30</v>
      </c>
      <c r="V3079">
        <f t="shared" si="293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 s="8">
        <f t="shared" si="289"/>
        <v>23.67</v>
      </c>
      <c r="Q3080" s="10" t="s">
        <v>8315</v>
      </c>
      <c r="R3080" s="10" t="s">
        <v>8355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30</v>
      </c>
      <c r="V3080">
        <f t="shared" si="293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 s="8">
        <f t="shared" si="289"/>
        <v>415.78</v>
      </c>
      <c r="Q3081" s="10" t="s">
        <v>8315</v>
      </c>
      <c r="R3081" s="10" t="s">
        <v>8355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30</v>
      </c>
      <c r="V3081">
        <f t="shared" si="293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 s="8">
        <f t="shared" si="289"/>
        <v>53.71</v>
      </c>
      <c r="Q3082" s="10" t="s">
        <v>8315</v>
      </c>
      <c r="R3082" s="10" t="s">
        <v>8355</v>
      </c>
      <c r="S3082" s="16">
        <f t="shared" si="290"/>
        <v>41940.028287037036</v>
      </c>
      <c r="T3082" s="16">
        <f t="shared" si="291"/>
        <v>42000.0699537037</v>
      </c>
      <c r="U3082">
        <f t="shared" si="292"/>
        <v>60</v>
      </c>
      <c r="V3082">
        <f t="shared" si="293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 s="8">
        <f t="shared" si="289"/>
        <v>420.6</v>
      </c>
      <c r="Q3083" s="10" t="s">
        <v>8315</v>
      </c>
      <c r="R3083" s="10" t="s">
        <v>8355</v>
      </c>
      <c r="S3083" s="16">
        <f t="shared" si="290"/>
        <v>42237.181608796294</v>
      </c>
      <c r="T3083" s="16">
        <f t="shared" si="291"/>
        <v>42267.181608796294</v>
      </c>
      <c r="U3083">
        <f t="shared" si="292"/>
        <v>30</v>
      </c>
      <c r="V3083">
        <f t="shared" si="293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s="8">
        <f t="shared" si="289"/>
        <v>0</v>
      </c>
      <c r="Q3084" s="10" t="s">
        <v>8315</v>
      </c>
      <c r="R3084" s="10" t="s">
        <v>8355</v>
      </c>
      <c r="S3084" s="16">
        <f t="shared" si="290"/>
        <v>42293.922986111109</v>
      </c>
      <c r="T3084" s="16">
        <f t="shared" si="291"/>
        <v>42323.96465277778</v>
      </c>
      <c r="U3084">
        <f t="shared" si="292"/>
        <v>30</v>
      </c>
      <c r="V3084">
        <f t="shared" si="293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 s="8">
        <f t="shared" si="289"/>
        <v>18.670000000000002</v>
      </c>
      <c r="Q3085" s="10" t="s">
        <v>8315</v>
      </c>
      <c r="R3085" s="10" t="s">
        <v>8355</v>
      </c>
      <c r="S3085" s="16">
        <f t="shared" si="290"/>
        <v>41853.563402777778</v>
      </c>
      <c r="T3085" s="16">
        <f t="shared" si="291"/>
        <v>41883.208333333336</v>
      </c>
      <c r="U3085">
        <f t="shared" si="292"/>
        <v>30</v>
      </c>
      <c r="V3085">
        <f t="shared" si="293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 s="8">
        <f t="shared" si="289"/>
        <v>78.33</v>
      </c>
      <c r="Q3086" s="10" t="s">
        <v>8315</v>
      </c>
      <c r="R3086" s="10" t="s">
        <v>8355</v>
      </c>
      <c r="S3086" s="16">
        <f t="shared" si="290"/>
        <v>42100.723738425921</v>
      </c>
      <c r="T3086" s="16">
        <f t="shared" si="291"/>
        <v>42129.783333333333</v>
      </c>
      <c r="U3086">
        <f t="shared" si="292"/>
        <v>29</v>
      </c>
      <c r="V3086">
        <f t="shared" si="293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 s="8">
        <f t="shared" si="289"/>
        <v>67.78</v>
      </c>
      <c r="Q3087" s="10" t="s">
        <v>8315</v>
      </c>
      <c r="R3087" s="10" t="s">
        <v>8355</v>
      </c>
      <c r="S3087" s="16">
        <f t="shared" si="290"/>
        <v>42246.883784722217</v>
      </c>
      <c r="T3087" s="16">
        <f t="shared" si="291"/>
        <v>42276.883784722217</v>
      </c>
      <c r="U3087">
        <f t="shared" si="292"/>
        <v>30</v>
      </c>
      <c r="V3087">
        <f t="shared" si="293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 s="8">
        <f t="shared" si="289"/>
        <v>16.670000000000002</v>
      </c>
      <c r="Q3088" s="10" t="s">
        <v>8315</v>
      </c>
      <c r="R3088" s="10" t="s">
        <v>8355</v>
      </c>
      <c r="S3088" s="16">
        <f t="shared" si="290"/>
        <v>42173.67082175926</v>
      </c>
      <c r="T3088" s="16">
        <f t="shared" si="291"/>
        <v>42233.67082175926</v>
      </c>
      <c r="U3088">
        <f t="shared" si="292"/>
        <v>60</v>
      </c>
      <c r="V3088">
        <f t="shared" si="293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 s="8">
        <f t="shared" si="289"/>
        <v>62.5</v>
      </c>
      <c r="Q3089" s="10" t="s">
        <v>8315</v>
      </c>
      <c r="R3089" s="10" t="s">
        <v>8355</v>
      </c>
      <c r="S3089" s="16">
        <f t="shared" si="290"/>
        <v>42665.150347222225</v>
      </c>
      <c r="T3089" s="16">
        <f t="shared" si="291"/>
        <v>42725.192013888889</v>
      </c>
      <c r="U3089">
        <f t="shared" si="292"/>
        <v>60</v>
      </c>
      <c r="V3089">
        <f t="shared" si="293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 s="8">
        <f t="shared" si="289"/>
        <v>42</v>
      </c>
      <c r="Q3090" s="10" t="s">
        <v>8315</v>
      </c>
      <c r="R3090" s="10" t="s">
        <v>8355</v>
      </c>
      <c r="S3090" s="16">
        <f t="shared" si="290"/>
        <v>41981.57230324074</v>
      </c>
      <c r="T3090" s="16">
        <f t="shared" si="291"/>
        <v>42012.570138888885</v>
      </c>
      <c r="U3090">
        <f t="shared" si="292"/>
        <v>31</v>
      </c>
      <c r="V3090">
        <f t="shared" si="293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 s="8">
        <f t="shared" si="289"/>
        <v>130.09</v>
      </c>
      <c r="Q3091" s="10" t="s">
        <v>8315</v>
      </c>
      <c r="R3091" s="10" t="s">
        <v>8355</v>
      </c>
      <c r="S3091" s="16">
        <f t="shared" si="290"/>
        <v>42528.542627314819</v>
      </c>
      <c r="T3091" s="16">
        <f t="shared" si="291"/>
        <v>42560.082638888889</v>
      </c>
      <c r="U3091">
        <f t="shared" si="292"/>
        <v>32</v>
      </c>
      <c r="V3091">
        <f t="shared" si="293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 s="8">
        <f t="shared" si="289"/>
        <v>1270.22</v>
      </c>
      <c r="Q3092" s="10" t="s">
        <v>8315</v>
      </c>
      <c r="R3092" s="10" t="s">
        <v>8355</v>
      </c>
      <c r="S3092" s="16">
        <f t="shared" si="290"/>
        <v>42065.818807870368</v>
      </c>
      <c r="T3092" s="16">
        <f t="shared" si="291"/>
        <v>42125.777141203704</v>
      </c>
      <c r="U3092">
        <f t="shared" si="292"/>
        <v>60</v>
      </c>
      <c r="V3092">
        <f t="shared" si="293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 s="8">
        <f t="shared" si="289"/>
        <v>88.44</v>
      </c>
      <c r="Q3093" s="10" t="s">
        <v>8315</v>
      </c>
      <c r="R3093" s="10" t="s">
        <v>8355</v>
      </c>
      <c r="S3093" s="16">
        <f t="shared" si="290"/>
        <v>42566.948414351849</v>
      </c>
      <c r="T3093" s="16">
        <f t="shared" si="291"/>
        <v>42596.948414351849</v>
      </c>
      <c r="U3093">
        <f t="shared" si="292"/>
        <v>30</v>
      </c>
      <c r="V3093">
        <f t="shared" si="293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 s="8">
        <f t="shared" si="289"/>
        <v>56.34</v>
      </c>
      <c r="Q3094" s="10" t="s">
        <v>8315</v>
      </c>
      <c r="R3094" s="10" t="s">
        <v>8355</v>
      </c>
      <c r="S3094" s="16">
        <f t="shared" si="290"/>
        <v>42255.619351851856</v>
      </c>
      <c r="T3094" s="16">
        <f t="shared" si="291"/>
        <v>42292.916666666672</v>
      </c>
      <c r="U3094">
        <f t="shared" si="292"/>
        <v>37</v>
      </c>
      <c r="V3094">
        <f t="shared" si="293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 s="8">
        <f t="shared" si="289"/>
        <v>53.53</v>
      </c>
      <c r="Q3095" s="10" t="s">
        <v>8315</v>
      </c>
      <c r="R3095" s="10" t="s">
        <v>8355</v>
      </c>
      <c r="S3095" s="16">
        <f t="shared" si="290"/>
        <v>41760.909039351849</v>
      </c>
      <c r="T3095" s="16">
        <f t="shared" si="291"/>
        <v>41791.165972222225</v>
      </c>
      <c r="U3095">
        <f t="shared" si="292"/>
        <v>30</v>
      </c>
      <c r="V3095">
        <f t="shared" si="293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 s="8">
        <f t="shared" si="289"/>
        <v>25</v>
      </c>
      <c r="Q3096" s="10" t="s">
        <v>8315</v>
      </c>
      <c r="R3096" s="10" t="s">
        <v>8355</v>
      </c>
      <c r="S3096" s="16">
        <f t="shared" si="290"/>
        <v>42207.795787037037</v>
      </c>
      <c r="T3096" s="16">
        <f t="shared" si="291"/>
        <v>42267.795787037037</v>
      </c>
      <c r="U3096">
        <f t="shared" si="292"/>
        <v>60</v>
      </c>
      <c r="V3096">
        <f t="shared" si="293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 s="8">
        <f t="shared" si="289"/>
        <v>50</v>
      </c>
      <c r="Q3097" s="10" t="s">
        <v>8315</v>
      </c>
      <c r="R3097" s="10" t="s">
        <v>8355</v>
      </c>
      <c r="S3097" s="16">
        <f t="shared" si="290"/>
        <v>42523.025231481486</v>
      </c>
      <c r="T3097" s="16">
        <f t="shared" si="291"/>
        <v>42583.025231481486</v>
      </c>
      <c r="U3097">
        <f t="shared" si="292"/>
        <v>60</v>
      </c>
      <c r="V3097">
        <f t="shared" si="293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 s="8">
        <f t="shared" si="289"/>
        <v>56.79</v>
      </c>
      <c r="Q3098" s="10" t="s">
        <v>8315</v>
      </c>
      <c r="R3098" s="10" t="s">
        <v>8355</v>
      </c>
      <c r="S3098" s="16">
        <f t="shared" si="290"/>
        <v>42114.825532407413</v>
      </c>
      <c r="T3098" s="16">
        <f t="shared" si="291"/>
        <v>42144.825532407413</v>
      </c>
      <c r="U3098">
        <f t="shared" si="292"/>
        <v>30</v>
      </c>
      <c r="V3098">
        <f t="shared" si="293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 s="8">
        <f t="shared" si="289"/>
        <v>40.83</v>
      </c>
      <c r="Q3099" s="10" t="s">
        <v>8315</v>
      </c>
      <c r="R3099" s="10" t="s">
        <v>8355</v>
      </c>
      <c r="S3099" s="16">
        <f t="shared" si="290"/>
        <v>42629.503483796296</v>
      </c>
      <c r="T3099" s="16">
        <f t="shared" si="291"/>
        <v>42650.583333333328</v>
      </c>
      <c r="U3099">
        <f t="shared" si="292"/>
        <v>21</v>
      </c>
      <c r="V3099">
        <f t="shared" si="293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 s="8">
        <f t="shared" si="289"/>
        <v>65.11</v>
      </c>
      <c r="Q3100" s="10" t="s">
        <v>8315</v>
      </c>
      <c r="R3100" s="10" t="s">
        <v>8355</v>
      </c>
      <c r="S3100" s="16">
        <f t="shared" si="290"/>
        <v>42359.792233796295</v>
      </c>
      <c r="T3100" s="16">
        <f t="shared" si="291"/>
        <v>42408.01180555555</v>
      </c>
      <c r="U3100">
        <f t="shared" si="292"/>
        <v>48</v>
      </c>
      <c r="V3100">
        <f t="shared" si="293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 s="8">
        <f t="shared" si="289"/>
        <v>55.6</v>
      </c>
      <c r="Q3101" s="10" t="s">
        <v>8315</v>
      </c>
      <c r="R3101" s="10" t="s">
        <v>8355</v>
      </c>
      <c r="S3101" s="16">
        <f t="shared" si="290"/>
        <v>42382.189710648148</v>
      </c>
      <c r="T3101" s="16">
        <f t="shared" si="291"/>
        <v>42412.189710648148</v>
      </c>
      <c r="U3101">
        <f t="shared" si="292"/>
        <v>30</v>
      </c>
      <c r="V3101">
        <f t="shared" si="293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 s="8">
        <f t="shared" si="289"/>
        <v>140.54</v>
      </c>
      <c r="Q3102" s="10" t="s">
        <v>8315</v>
      </c>
      <c r="R3102" s="10" t="s">
        <v>8355</v>
      </c>
      <c r="S3102" s="16">
        <f t="shared" si="290"/>
        <v>41902.622395833336</v>
      </c>
      <c r="T3102" s="16">
        <f t="shared" si="291"/>
        <v>41932.622395833336</v>
      </c>
      <c r="U3102">
        <f t="shared" si="292"/>
        <v>30</v>
      </c>
      <c r="V3102">
        <f t="shared" si="293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 s="8">
        <f t="shared" si="289"/>
        <v>25</v>
      </c>
      <c r="Q3103" s="10" t="s">
        <v>8315</v>
      </c>
      <c r="R3103" s="10" t="s">
        <v>8355</v>
      </c>
      <c r="S3103" s="16">
        <f t="shared" si="290"/>
        <v>42171.383530092593</v>
      </c>
      <c r="T3103" s="16">
        <f t="shared" si="291"/>
        <v>42201.330555555556</v>
      </c>
      <c r="U3103">
        <f t="shared" si="292"/>
        <v>30</v>
      </c>
      <c r="V3103">
        <f t="shared" si="293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 s="8">
        <f t="shared" si="289"/>
        <v>69.53</v>
      </c>
      <c r="Q3104" s="10" t="s">
        <v>8315</v>
      </c>
      <c r="R3104" s="10" t="s">
        <v>8355</v>
      </c>
      <c r="S3104" s="16">
        <f t="shared" si="290"/>
        <v>42555.340486111112</v>
      </c>
      <c r="T3104" s="16">
        <f t="shared" si="291"/>
        <v>42605.340486111112</v>
      </c>
      <c r="U3104">
        <f t="shared" si="292"/>
        <v>50</v>
      </c>
      <c r="V3104">
        <f t="shared" si="293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 s="8">
        <f t="shared" si="289"/>
        <v>5.5</v>
      </c>
      <c r="Q3105" s="10" t="s">
        <v>8315</v>
      </c>
      <c r="R3105" s="10" t="s">
        <v>8355</v>
      </c>
      <c r="S3105" s="16">
        <f t="shared" si="290"/>
        <v>42107.156319444446</v>
      </c>
      <c r="T3105" s="16">
        <f t="shared" si="291"/>
        <v>42167.156319444446</v>
      </c>
      <c r="U3105">
        <f t="shared" si="292"/>
        <v>60</v>
      </c>
      <c r="V3105">
        <f t="shared" si="293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 s="8">
        <f t="shared" si="289"/>
        <v>237</v>
      </c>
      <c r="Q3106" s="10" t="s">
        <v>8315</v>
      </c>
      <c r="R3106" s="10" t="s">
        <v>8355</v>
      </c>
      <c r="S3106" s="16">
        <f t="shared" si="290"/>
        <v>42006.908692129626</v>
      </c>
      <c r="T3106" s="16">
        <f t="shared" si="291"/>
        <v>42038.083333333328</v>
      </c>
      <c r="U3106">
        <f t="shared" si="292"/>
        <v>31</v>
      </c>
      <c r="V3106">
        <f t="shared" si="293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 s="8">
        <f t="shared" si="289"/>
        <v>79.87</v>
      </c>
      <c r="Q3107" s="10" t="s">
        <v>8315</v>
      </c>
      <c r="R3107" s="10" t="s">
        <v>8355</v>
      </c>
      <c r="S3107" s="16">
        <f t="shared" si="290"/>
        <v>41876.718935185185</v>
      </c>
      <c r="T3107" s="16">
        <f t="shared" si="291"/>
        <v>41931.208333333336</v>
      </c>
      <c r="U3107">
        <f t="shared" si="292"/>
        <v>54</v>
      </c>
      <c r="V3107">
        <f t="shared" si="293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 s="8">
        <f t="shared" si="289"/>
        <v>10.25</v>
      </c>
      <c r="Q3108" s="10" t="s">
        <v>8315</v>
      </c>
      <c r="R3108" s="10" t="s">
        <v>8355</v>
      </c>
      <c r="S3108" s="16">
        <f t="shared" si="290"/>
        <v>42241.429120370376</v>
      </c>
      <c r="T3108" s="16">
        <f t="shared" si="291"/>
        <v>42263.916666666672</v>
      </c>
      <c r="U3108">
        <f t="shared" si="292"/>
        <v>22</v>
      </c>
      <c r="V3108">
        <f t="shared" si="293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 s="8">
        <f t="shared" si="289"/>
        <v>272.58999999999997</v>
      </c>
      <c r="Q3109" s="10" t="s">
        <v>8315</v>
      </c>
      <c r="R3109" s="10" t="s">
        <v>8355</v>
      </c>
      <c r="S3109" s="16">
        <f t="shared" si="290"/>
        <v>42128.814247685179</v>
      </c>
      <c r="T3109" s="16">
        <f t="shared" si="291"/>
        <v>42135.814247685179</v>
      </c>
      <c r="U3109">
        <f t="shared" si="292"/>
        <v>7</v>
      </c>
      <c r="V3109">
        <f t="shared" si="293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 s="8">
        <f t="shared" si="289"/>
        <v>13</v>
      </c>
      <c r="Q3110" s="10" t="s">
        <v>8315</v>
      </c>
      <c r="R3110" s="10" t="s">
        <v>8355</v>
      </c>
      <c r="S3110" s="16">
        <f t="shared" si="290"/>
        <v>42062.680486111116</v>
      </c>
      <c r="T3110" s="16">
        <f t="shared" si="291"/>
        <v>42122.638819444444</v>
      </c>
      <c r="U3110">
        <f t="shared" si="292"/>
        <v>60</v>
      </c>
      <c r="V3110">
        <f t="shared" si="293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 s="8">
        <f t="shared" si="289"/>
        <v>58.18</v>
      </c>
      <c r="Q3111" s="10" t="s">
        <v>8315</v>
      </c>
      <c r="R3111" s="10" t="s">
        <v>8355</v>
      </c>
      <c r="S3111" s="16">
        <f t="shared" si="290"/>
        <v>41844.125115740739</v>
      </c>
      <c r="T3111" s="16">
        <f t="shared" si="291"/>
        <v>41879.125115740739</v>
      </c>
      <c r="U3111">
        <f t="shared" si="292"/>
        <v>35</v>
      </c>
      <c r="V3111">
        <f t="shared" si="293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 s="8">
        <f t="shared" si="289"/>
        <v>10</v>
      </c>
      <c r="Q3112" s="10" t="s">
        <v>8315</v>
      </c>
      <c r="R3112" s="10" t="s">
        <v>8355</v>
      </c>
      <c r="S3112" s="16">
        <f t="shared" si="290"/>
        <v>42745.031469907408</v>
      </c>
      <c r="T3112" s="16">
        <f t="shared" si="291"/>
        <v>42785.031469907408</v>
      </c>
      <c r="U3112">
        <f t="shared" si="292"/>
        <v>40</v>
      </c>
      <c r="V3112">
        <f t="shared" si="293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 s="8">
        <f t="shared" si="289"/>
        <v>70.11</v>
      </c>
      <c r="Q3113" s="10" t="s">
        <v>8315</v>
      </c>
      <c r="R3113" s="10" t="s">
        <v>8355</v>
      </c>
      <c r="S3113" s="16">
        <f t="shared" si="290"/>
        <v>41885.595138888886</v>
      </c>
      <c r="T3113" s="16">
        <f t="shared" si="291"/>
        <v>41916.595138888886</v>
      </c>
      <c r="U3113">
        <f t="shared" si="292"/>
        <v>31</v>
      </c>
      <c r="V3113">
        <f t="shared" si="293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 s="8">
        <f t="shared" si="289"/>
        <v>57.89</v>
      </c>
      <c r="Q3114" s="10" t="s">
        <v>8315</v>
      </c>
      <c r="R3114" s="10" t="s">
        <v>8355</v>
      </c>
      <c r="S3114" s="16">
        <f t="shared" si="290"/>
        <v>42615.121921296297</v>
      </c>
      <c r="T3114" s="16">
        <f t="shared" si="291"/>
        <v>42675.121921296297</v>
      </c>
      <c r="U3114">
        <f t="shared" si="292"/>
        <v>60</v>
      </c>
      <c r="V3114">
        <f t="shared" si="293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 s="8">
        <f t="shared" si="289"/>
        <v>125.27</v>
      </c>
      <c r="Q3115" s="10" t="s">
        <v>8315</v>
      </c>
      <c r="R3115" s="10" t="s">
        <v>8355</v>
      </c>
      <c r="S3115" s="16">
        <f t="shared" si="290"/>
        <v>42081.731273148151</v>
      </c>
      <c r="T3115" s="16">
        <f t="shared" si="291"/>
        <v>42111.731273148151</v>
      </c>
      <c r="U3115">
        <f t="shared" si="292"/>
        <v>30</v>
      </c>
      <c r="V3115">
        <f t="shared" si="293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 s="8">
        <f t="shared" si="289"/>
        <v>0</v>
      </c>
      <c r="Q3116" s="10" t="s">
        <v>8315</v>
      </c>
      <c r="R3116" s="10" t="s">
        <v>8355</v>
      </c>
      <c r="S3116" s="16">
        <f t="shared" si="290"/>
        <v>41843.632523148146</v>
      </c>
      <c r="T3116" s="16">
        <f t="shared" si="291"/>
        <v>41903.632523148146</v>
      </c>
      <c r="U3116">
        <f t="shared" si="292"/>
        <v>60</v>
      </c>
      <c r="V3116">
        <f t="shared" si="293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 s="8">
        <f t="shared" si="289"/>
        <v>300</v>
      </c>
      <c r="Q3117" s="10" t="s">
        <v>8315</v>
      </c>
      <c r="R3117" s="10" t="s">
        <v>8355</v>
      </c>
      <c r="S3117" s="16">
        <f t="shared" si="290"/>
        <v>42496.447071759263</v>
      </c>
      <c r="T3117" s="16">
        <f t="shared" si="291"/>
        <v>42526.447071759263</v>
      </c>
      <c r="U3117">
        <f t="shared" si="292"/>
        <v>30</v>
      </c>
      <c r="V3117">
        <f t="shared" si="293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 s="8">
        <f t="shared" si="289"/>
        <v>43</v>
      </c>
      <c r="Q3118" s="10" t="s">
        <v>8315</v>
      </c>
      <c r="R3118" s="10" t="s">
        <v>8355</v>
      </c>
      <c r="S3118" s="16">
        <f t="shared" si="290"/>
        <v>42081.515335648146</v>
      </c>
      <c r="T3118" s="16">
        <f t="shared" si="291"/>
        <v>42095.515335648146</v>
      </c>
      <c r="U3118">
        <f t="shared" si="292"/>
        <v>14</v>
      </c>
      <c r="V3118">
        <f t="shared" si="293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 s="8">
        <f t="shared" si="289"/>
        <v>1</v>
      </c>
      <c r="Q3119" s="10" t="s">
        <v>8315</v>
      </c>
      <c r="R3119" s="10" t="s">
        <v>8355</v>
      </c>
      <c r="S3119" s="16">
        <f t="shared" si="290"/>
        <v>42509.374537037031</v>
      </c>
      <c r="T3119" s="16">
        <f t="shared" si="291"/>
        <v>42517.55</v>
      </c>
      <c r="U3119">
        <f t="shared" si="292"/>
        <v>8</v>
      </c>
      <c r="V3119">
        <f t="shared" si="293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 s="8">
        <f t="shared" si="289"/>
        <v>775</v>
      </c>
      <c r="Q3120" s="10" t="s">
        <v>8315</v>
      </c>
      <c r="R3120" s="10" t="s">
        <v>8355</v>
      </c>
      <c r="S3120" s="16">
        <f t="shared" si="290"/>
        <v>42534.649571759262</v>
      </c>
      <c r="T3120" s="16">
        <f t="shared" si="291"/>
        <v>42553.649571759262</v>
      </c>
      <c r="U3120">
        <f t="shared" si="292"/>
        <v>19</v>
      </c>
      <c r="V3120">
        <f t="shared" si="293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 s="8">
        <f t="shared" si="289"/>
        <v>5</v>
      </c>
      <c r="Q3121" s="10" t="s">
        <v>8315</v>
      </c>
      <c r="R3121" s="10" t="s">
        <v>8355</v>
      </c>
      <c r="S3121" s="16">
        <f t="shared" si="290"/>
        <v>42060.04550925926</v>
      </c>
      <c r="T3121" s="16">
        <f t="shared" si="291"/>
        <v>42090.003842592589</v>
      </c>
      <c r="U3121">
        <f t="shared" si="292"/>
        <v>30</v>
      </c>
      <c r="V3121">
        <f t="shared" si="293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 s="8">
        <f t="shared" si="289"/>
        <v>12.8</v>
      </c>
      <c r="Q3122" s="10" t="s">
        <v>8315</v>
      </c>
      <c r="R3122" s="10" t="s">
        <v>8355</v>
      </c>
      <c r="S3122" s="16">
        <f t="shared" si="290"/>
        <v>42435.942083333335</v>
      </c>
      <c r="T3122" s="16">
        <f t="shared" si="291"/>
        <v>42495.900416666671</v>
      </c>
      <c r="U3122">
        <f t="shared" si="292"/>
        <v>60</v>
      </c>
      <c r="V3122">
        <f t="shared" si="293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 s="8">
        <f t="shared" si="289"/>
        <v>10</v>
      </c>
      <c r="Q3123" s="10" t="s">
        <v>8315</v>
      </c>
      <c r="R3123" s="10" t="s">
        <v>8355</v>
      </c>
      <c r="S3123" s="16">
        <f t="shared" si="290"/>
        <v>41848.679803240739</v>
      </c>
      <c r="T3123" s="16">
        <f t="shared" si="291"/>
        <v>41908.679803240739</v>
      </c>
      <c r="U3123">
        <f t="shared" si="292"/>
        <v>60</v>
      </c>
      <c r="V3123">
        <f t="shared" si="293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 s="8">
        <f t="shared" si="289"/>
        <v>58</v>
      </c>
      <c r="Q3124" s="10" t="s">
        <v>8315</v>
      </c>
      <c r="R3124" s="10" t="s">
        <v>8355</v>
      </c>
      <c r="S3124" s="16">
        <f t="shared" si="290"/>
        <v>42678.932083333333</v>
      </c>
      <c r="T3124" s="16">
        <f t="shared" si="291"/>
        <v>42683.973750000005</v>
      </c>
      <c r="U3124">
        <f t="shared" si="292"/>
        <v>5</v>
      </c>
      <c r="V3124">
        <f t="shared" si="293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 s="8">
        <f t="shared" si="289"/>
        <v>244.8</v>
      </c>
      <c r="Q3125" s="10" t="s">
        <v>8315</v>
      </c>
      <c r="R3125" s="10" t="s">
        <v>8355</v>
      </c>
      <c r="S3125" s="16">
        <f t="shared" si="290"/>
        <v>42530.993032407408</v>
      </c>
      <c r="T3125" s="16">
        <f t="shared" si="291"/>
        <v>42560.993032407408</v>
      </c>
      <c r="U3125">
        <f t="shared" si="292"/>
        <v>30</v>
      </c>
      <c r="V3125">
        <f t="shared" si="293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 s="8">
        <f t="shared" si="289"/>
        <v>6.5</v>
      </c>
      <c r="Q3126" s="10" t="s">
        <v>8315</v>
      </c>
      <c r="R3126" s="10" t="s">
        <v>8355</v>
      </c>
      <c r="S3126" s="16">
        <f t="shared" si="290"/>
        <v>41977.780104166668</v>
      </c>
      <c r="T3126" s="16">
        <f t="shared" si="291"/>
        <v>42037.780104166668</v>
      </c>
      <c r="U3126">
        <f t="shared" si="292"/>
        <v>60</v>
      </c>
      <c r="V3126">
        <f t="shared" si="293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 s="8">
        <f t="shared" si="289"/>
        <v>0</v>
      </c>
      <c r="Q3127" s="10" t="s">
        <v>8315</v>
      </c>
      <c r="R3127" s="10" t="s">
        <v>8355</v>
      </c>
      <c r="S3127" s="16">
        <f t="shared" si="290"/>
        <v>42346.20685185185</v>
      </c>
      <c r="T3127" s="16">
        <f t="shared" si="291"/>
        <v>42376.20685185185</v>
      </c>
      <c r="U3127">
        <f t="shared" si="292"/>
        <v>30</v>
      </c>
      <c r="V3127">
        <f t="shared" si="293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 s="8">
        <f t="shared" si="289"/>
        <v>61.18</v>
      </c>
      <c r="Q3128" s="10" t="s">
        <v>8315</v>
      </c>
      <c r="R3128" s="10" t="s">
        <v>8355</v>
      </c>
      <c r="S3128" s="16">
        <f t="shared" si="290"/>
        <v>42427.01807870371</v>
      </c>
      <c r="T3128" s="16">
        <f t="shared" si="291"/>
        <v>42456.976412037038</v>
      </c>
      <c r="U3128">
        <f t="shared" si="292"/>
        <v>30</v>
      </c>
      <c r="V3128">
        <f t="shared" si="293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 s="8">
        <f t="shared" si="289"/>
        <v>0</v>
      </c>
      <c r="Q3129" s="10" t="s">
        <v>8315</v>
      </c>
      <c r="R3129" s="10" t="s">
        <v>8355</v>
      </c>
      <c r="S3129" s="16">
        <f t="shared" si="290"/>
        <v>42034.856817129628</v>
      </c>
      <c r="T3129" s="16">
        <f t="shared" si="291"/>
        <v>42064.856817129628</v>
      </c>
      <c r="U3129">
        <f t="shared" si="292"/>
        <v>30</v>
      </c>
      <c r="V3129">
        <f t="shared" si="293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 s="8">
        <f t="shared" si="289"/>
        <v>139.24</v>
      </c>
      <c r="Q3130" s="10" t="s">
        <v>8315</v>
      </c>
      <c r="R3130" s="10" t="s">
        <v>8316</v>
      </c>
      <c r="S3130" s="16">
        <f t="shared" si="290"/>
        <v>42780.825706018513</v>
      </c>
      <c r="T3130" s="16">
        <f t="shared" si="291"/>
        <v>42810.784039351856</v>
      </c>
      <c r="U3130">
        <f t="shared" si="292"/>
        <v>30</v>
      </c>
      <c r="V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 s="8">
        <f t="shared" si="289"/>
        <v>10</v>
      </c>
      <c r="Q3131" s="10" t="s">
        <v>8315</v>
      </c>
      <c r="R3131" s="10" t="s">
        <v>8316</v>
      </c>
      <c r="S3131" s="16">
        <f t="shared" si="290"/>
        <v>42803.842812499999</v>
      </c>
      <c r="T3131" s="16">
        <f t="shared" si="291"/>
        <v>42843.801145833335</v>
      </c>
      <c r="U3131">
        <f t="shared" si="292"/>
        <v>40</v>
      </c>
      <c r="V3131">
        <f t="shared" si="293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 s="8">
        <f t="shared" si="289"/>
        <v>93.75</v>
      </c>
      <c r="Q3132" s="10" t="s">
        <v>8315</v>
      </c>
      <c r="R3132" s="10" t="s">
        <v>8316</v>
      </c>
      <c r="S3132" s="16">
        <f t="shared" si="290"/>
        <v>42808.640231481477</v>
      </c>
      <c r="T3132" s="16">
        <f t="shared" si="291"/>
        <v>42839.207638888889</v>
      </c>
      <c r="U3132">
        <f t="shared" si="292"/>
        <v>31</v>
      </c>
      <c r="V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 s="8">
        <f t="shared" si="289"/>
        <v>53.75</v>
      </c>
      <c r="Q3133" s="10" t="s">
        <v>8315</v>
      </c>
      <c r="R3133" s="10" t="s">
        <v>8316</v>
      </c>
      <c r="S3133" s="16">
        <f t="shared" si="290"/>
        <v>42803.579224537039</v>
      </c>
      <c r="T3133" s="16">
        <f t="shared" si="291"/>
        <v>42833.537557870368</v>
      </c>
      <c r="U3133">
        <f t="shared" si="292"/>
        <v>30</v>
      </c>
      <c r="V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 s="8">
        <f t="shared" si="289"/>
        <v>10</v>
      </c>
      <c r="Q3134" s="10" t="s">
        <v>8315</v>
      </c>
      <c r="R3134" s="10" t="s">
        <v>8316</v>
      </c>
      <c r="S3134" s="16">
        <f t="shared" si="290"/>
        <v>42786.350231481483</v>
      </c>
      <c r="T3134" s="16">
        <f t="shared" si="291"/>
        <v>42846.308564814812</v>
      </c>
      <c r="U3134">
        <f t="shared" si="292"/>
        <v>60</v>
      </c>
      <c r="V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 s="8">
        <f t="shared" si="289"/>
        <v>33.75</v>
      </c>
      <c r="Q3135" s="10" t="s">
        <v>8315</v>
      </c>
      <c r="R3135" s="10" t="s">
        <v>8316</v>
      </c>
      <c r="S3135" s="16">
        <f t="shared" si="290"/>
        <v>42788.565208333333</v>
      </c>
      <c r="T3135" s="16">
        <f t="shared" si="291"/>
        <v>42818.523541666669</v>
      </c>
      <c r="U3135">
        <f t="shared" si="292"/>
        <v>30</v>
      </c>
      <c r="V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 s="8">
        <f t="shared" si="289"/>
        <v>18.75</v>
      </c>
      <c r="Q3136" s="10" t="s">
        <v>8315</v>
      </c>
      <c r="R3136" s="10" t="s">
        <v>8316</v>
      </c>
      <c r="S3136" s="16">
        <f t="shared" si="290"/>
        <v>42800.720127314817</v>
      </c>
      <c r="T3136" s="16">
        <f t="shared" si="291"/>
        <v>42821.678460648152</v>
      </c>
      <c r="U3136">
        <f t="shared" si="292"/>
        <v>21</v>
      </c>
      <c r="V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 s="8">
        <f t="shared" si="289"/>
        <v>23.14</v>
      </c>
      <c r="Q3137" s="10" t="s">
        <v>8315</v>
      </c>
      <c r="R3137" s="10" t="s">
        <v>8316</v>
      </c>
      <c r="S3137" s="16">
        <f t="shared" si="290"/>
        <v>42807.151863425926</v>
      </c>
      <c r="T3137" s="16">
        <f t="shared" si="291"/>
        <v>42829.151863425926</v>
      </c>
      <c r="U3137">
        <f t="shared" si="292"/>
        <v>22</v>
      </c>
      <c r="V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ROUND((E3138/D3138)*100, 0)</f>
        <v>128</v>
      </c>
      <c r="P3138" s="8">
        <f t="shared" ref="P3138:P3201" si="295">IFERROR(ROUND(E3138/L3138, 2), 0)</f>
        <v>29.05</v>
      </c>
      <c r="Q3138" s="10" t="s">
        <v>8315</v>
      </c>
      <c r="R3138" s="10" t="s">
        <v>8316</v>
      </c>
      <c r="S3138" s="16">
        <f t="shared" ref="S3138:S3201" si="296">(J3138/60/60/24)+DATE(1970, 1, 1)</f>
        <v>42789.462430555555</v>
      </c>
      <c r="T3138" s="16">
        <f t="shared" ref="T3138:T3201" si="297">(I3138/60/60/24)+DATE(1970, 1, 1)</f>
        <v>42825.957638888889</v>
      </c>
      <c r="U3138">
        <f t="shared" si="292"/>
        <v>36</v>
      </c>
      <c r="V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 s="8">
        <f t="shared" si="295"/>
        <v>50</v>
      </c>
      <c r="Q3139" s="10" t="s">
        <v>8315</v>
      </c>
      <c r="R3139" s="10" t="s">
        <v>8316</v>
      </c>
      <c r="S3139" s="16">
        <f t="shared" si="296"/>
        <v>42807.885057870371</v>
      </c>
      <c r="T3139" s="16">
        <f t="shared" si="297"/>
        <v>42858.8</v>
      </c>
      <c r="U3139">
        <f t="shared" ref="U3139:U3202" si="298">ROUND(T3139-S3139, 0)</f>
        <v>51</v>
      </c>
      <c r="V3139">
        <f t="shared" ref="V3139:V3202" si="299">YEAR($S3139)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s="8">
        <f t="shared" si="295"/>
        <v>0</v>
      </c>
      <c r="Q3140" s="10" t="s">
        <v>8315</v>
      </c>
      <c r="R3140" s="10" t="s">
        <v>8316</v>
      </c>
      <c r="S3140" s="16">
        <f t="shared" si="296"/>
        <v>42809.645914351851</v>
      </c>
      <c r="T3140" s="16">
        <f t="shared" si="297"/>
        <v>42828.645914351851</v>
      </c>
      <c r="U3140">
        <f t="shared" si="298"/>
        <v>19</v>
      </c>
      <c r="V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 s="8">
        <f t="shared" si="295"/>
        <v>450</v>
      </c>
      <c r="Q3141" s="10" t="s">
        <v>8315</v>
      </c>
      <c r="R3141" s="10" t="s">
        <v>8316</v>
      </c>
      <c r="S3141" s="16">
        <f t="shared" si="296"/>
        <v>42785.270370370374</v>
      </c>
      <c r="T3141" s="16">
        <f t="shared" si="297"/>
        <v>42819.189583333333</v>
      </c>
      <c r="U3141">
        <f t="shared" si="298"/>
        <v>34</v>
      </c>
      <c r="V3141">
        <f t="shared" si="2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 s="8">
        <f t="shared" si="295"/>
        <v>24</v>
      </c>
      <c r="Q3142" s="10" t="s">
        <v>8315</v>
      </c>
      <c r="R3142" s="10" t="s">
        <v>8316</v>
      </c>
      <c r="S3142" s="16">
        <f t="shared" si="296"/>
        <v>42802.718784722223</v>
      </c>
      <c r="T3142" s="16">
        <f t="shared" si="297"/>
        <v>42832.677118055552</v>
      </c>
      <c r="U3142">
        <f t="shared" si="298"/>
        <v>30</v>
      </c>
      <c r="V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 s="8">
        <f t="shared" si="295"/>
        <v>32.25</v>
      </c>
      <c r="Q3143" s="10" t="s">
        <v>8315</v>
      </c>
      <c r="R3143" s="10" t="s">
        <v>8316</v>
      </c>
      <c r="S3143" s="16">
        <f t="shared" si="296"/>
        <v>42800.753333333334</v>
      </c>
      <c r="T3143" s="16">
        <f t="shared" si="297"/>
        <v>42841.833333333328</v>
      </c>
      <c r="U3143">
        <f t="shared" si="298"/>
        <v>41</v>
      </c>
      <c r="V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 s="8">
        <f t="shared" si="295"/>
        <v>15</v>
      </c>
      <c r="Q3144" s="10" t="s">
        <v>8315</v>
      </c>
      <c r="R3144" s="10" t="s">
        <v>8316</v>
      </c>
      <c r="S3144" s="16">
        <f t="shared" si="296"/>
        <v>42783.513182870374</v>
      </c>
      <c r="T3144" s="16">
        <f t="shared" si="297"/>
        <v>42813.471516203703</v>
      </c>
      <c r="U3144">
        <f t="shared" si="298"/>
        <v>30</v>
      </c>
      <c r="V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s="8">
        <f t="shared" si="295"/>
        <v>0</v>
      </c>
      <c r="Q3145" s="10" t="s">
        <v>8315</v>
      </c>
      <c r="R3145" s="10" t="s">
        <v>8316</v>
      </c>
      <c r="S3145" s="16">
        <f t="shared" si="296"/>
        <v>42808.358287037037</v>
      </c>
      <c r="T3145" s="16">
        <f t="shared" si="297"/>
        <v>42834.358287037037</v>
      </c>
      <c r="U3145">
        <f t="shared" si="298"/>
        <v>26</v>
      </c>
      <c r="V3145">
        <f t="shared" si="2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 s="8">
        <f t="shared" si="295"/>
        <v>251.33</v>
      </c>
      <c r="Q3146" s="10" t="s">
        <v>8315</v>
      </c>
      <c r="R3146" s="10" t="s">
        <v>8316</v>
      </c>
      <c r="S3146" s="16">
        <f t="shared" si="296"/>
        <v>42796.538275462968</v>
      </c>
      <c r="T3146" s="16">
        <f t="shared" si="297"/>
        <v>42813.25</v>
      </c>
      <c r="U3146">
        <f t="shared" si="298"/>
        <v>17</v>
      </c>
      <c r="V3146">
        <f t="shared" si="2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s="8">
        <f t="shared" si="295"/>
        <v>0</v>
      </c>
      <c r="Q3147" s="10" t="s">
        <v>8315</v>
      </c>
      <c r="R3147" s="10" t="s">
        <v>8316</v>
      </c>
      <c r="S3147" s="16">
        <f t="shared" si="296"/>
        <v>42762.040902777779</v>
      </c>
      <c r="T3147" s="16">
        <f t="shared" si="297"/>
        <v>42821.999236111107</v>
      </c>
      <c r="U3147">
        <f t="shared" si="298"/>
        <v>60</v>
      </c>
      <c r="V3147">
        <f t="shared" si="2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 s="8">
        <f t="shared" si="295"/>
        <v>437.5</v>
      </c>
      <c r="Q3148" s="10" t="s">
        <v>8315</v>
      </c>
      <c r="R3148" s="10" t="s">
        <v>8316</v>
      </c>
      <c r="S3148" s="16">
        <f t="shared" si="296"/>
        <v>42796.682476851856</v>
      </c>
      <c r="T3148" s="16">
        <f t="shared" si="297"/>
        <v>42841.640810185185</v>
      </c>
      <c r="U3148">
        <f t="shared" si="298"/>
        <v>45</v>
      </c>
      <c r="V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 s="8">
        <f t="shared" si="295"/>
        <v>110.35</v>
      </c>
      <c r="Q3149" s="10" t="s">
        <v>8315</v>
      </c>
      <c r="R3149" s="10" t="s">
        <v>8316</v>
      </c>
      <c r="S3149" s="16">
        <f t="shared" si="296"/>
        <v>41909.969386574077</v>
      </c>
      <c r="T3149" s="16">
        <f t="shared" si="297"/>
        <v>41950.011053240742</v>
      </c>
      <c r="U3149">
        <f t="shared" si="298"/>
        <v>40</v>
      </c>
      <c r="V3149">
        <f t="shared" si="2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 s="8">
        <f t="shared" si="295"/>
        <v>41.42</v>
      </c>
      <c r="Q3150" s="10" t="s">
        <v>8315</v>
      </c>
      <c r="R3150" s="10" t="s">
        <v>8316</v>
      </c>
      <c r="S3150" s="16">
        <f t="shared" si="296"/>
        <v>41891.665324074071</v>
      </c>
      <c r="T3150" s="16">
        <f t="shared" si="297"/>
        <v>41913.166666666664</v>
      </c>
      <c r="U3150">
        <f t="shared" si="298"/>
        <v>22</v>
      </c>
      <c r="V3150">
        <f t="shared" si="2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 s="8">
        <f t="shared" si="295"/>
        <v>52</v>
      </c>
      <c r="Q3151" s="10" t="s">
        <v>8315</v>
      </c>
      <c r="R3151" s="10" t="s">
        <v>8316</v>
      </c>
      <c r="S3151" s="16">
        <f t="shared" si="296"/>
        <v>41226.017361111109</v>
      </c>
      <c r="T3151" s="16">
        <f t="shared" si="297"/>
        <v>41250.083333333336</v>
      </c>
      <c r="U3151">
        <f t="shared" si="298"/>
        <v>24</v>
      </c>
      <c r="V3151">
        <f t="shared" si="29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 s="8">
        <f t="shared" si="295"/>
        <v>33.99</v>
      </c>
      <c r="Q3152" s="10" t="s">
        <v>8315</v>
      </c>
      <c r="R3152" s="10" t="s">
        <v>8316</v>
      </c>
      <c r="S3152" s="16">
        <f t="shared" si="296"/>
        <v>40478.263923611114</v>
      </c>
      <c r="T3152" s="16">
        <f t="shared" si="297"/>
        <v>40568.166666666664</v>
      </c>
      <c r="U3152">
        <f t="shared" si="298"/>
        <v>90</v>
      </c>
      <c r="V3152">
        <f t="shared" si="29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 s="8">
        <f t="shared" si="295"/>
        <v>103.35</v>
      </c>
      <c r="Q3153" s="10" t="s">
        <v>8315</v>
      </c>
      <c r="R3153" s="10" t="s">
        <v>8316</v>
      </c>
      <c r="S3153" s="16">
        <f t="shared" si="296"/>
        <v>41862.83997685185</v>
      </c>
      <c r="T3153" s="16">
        <f t="shared" si="297"/>
        <v>41892.83997685185</v>
      </c>
      <c r="U3153">
        <f t="shared" si="298"/>
        <v>30</v>
      </c>
      <c r="V3153">
        <f t="shared" si="29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 s="8">
        <f t="shared" si="295"/>
        <v>34.79</v>
      </c>
      <c r="Q3154" s="10" t="s">
        <v>8315</v>
      </c>
      <c r="R3154" s="10" t="s">
        <v>8316</v>
      </c>
      <c r="S3154" s="16">
        <f t="shared" si="296"/>
        <v>41550.867673611108</v>
      </c>
      <c r="T3154" s="16">
        <f t="shared" si="297"/>
        <v>41580.867673611108</v>
      </c>
      <c r="U3154">
        <f t="shared" si="298"/>
        <v>30</v>
      </c>
      <c r="V3154">
        <f t="shared" si="29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 s="8">
        <f t="shared" si="295"/>
        <v>41.77</v>
      </c>
      <c r="Q3155" s="10" t="s">
        <v>8315</v>
      </c>
      <c r="R3155" s="10" t="s">
        <v>8316</v>
      </c>
      <c r="S3155" s="16">
        <f t="shared" si="296"/>
        <v>40633.154363425929</v>
      </c>
      <c r="T3155" s="16">
        <f t="shared" si="297"/>
        <v>40664.207638888889</v>
      </c>
      <c r="U3155">
        <f t="shared" si="298"/>
        <v>31</v>
      </c>
      <c r="V3155">
        <f t="shared" si="2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 s="8">
        <f t="shared" si="295"/>
        <v>64.27</v>
      </c>
      <c r="Q3156" s="10" t="s">
        <v>8315</v>
      </c>
      <c r="R3156" s="10" t="s">
        <v>8316</v>
      </c>
      <c r="S3156" s="16">
        <f t="shared" si="296"/>
        <v>40970.875671296293</v>
      </c>
      <c r="T3156" s="16">
        <f t="shared" si="297"/>
        <v>41000.834004629629</v>
      </c>
      <c r="U3156">
        <f t="shared" si="298"/>
        <v>30</v>
      </c>
      <c r="V3156">
        <f t="shared" si="29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 s="8">
        <f t="shared" si="295"/>
        <v>31.21</v>
      </c>
      <c r="Q3157" s="10" t="s">
        <v>8315</v>
      </c>
      <c r="R3157" s="10" t="s">
        <v>8316</v>
      </c>
      <c r="S3157" s="16">
        <f t="shared" si="296"/>
        <v>41233.499131944445</v>
      </c>
      <c r="T3157" s="16">
        <f t="shared" si="297"/>
        <v>41263.499131944445</v>
      </c>
      <c r="U3157">
        <f t="shared" si="298"/>
        <v>30</v>
      </c>
      <c r="V3157">
        <f t="shared" si="2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 s="8">
        <f t="shared" si="295"/>
        <v>62.92</v>
      </c>
      <c r="Q3158" s="10" t="s">
        <v>8315</v>
      </c>
      <c r="R3158" s="10" t="s">
        <v>8316</v>
      </c>
      <c r="S3158" s="16">
        <f t="shared" si="296"/>
        <v>41026.953055555554</v>
      </c>
      <c r="T3158" s="16">
        <f t="shared" si="297"/>
        <v>41061.953055555554</v>
      </c>
      <c r="U3158">
        <f t="shared" si="298"/>
        <v>35</v>
      </c>
      <c r="V3158">
        <f t="shared" si="29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 s="8">
        <f t="shared" si="295"/>
        <v>98.54</v>
      </c>
      <c r="Q3159" s="10" t="s">
        <v>8315</v>
      </c>
      <c r="R3159" s="10" t="s">
        <v>8316</v>
      </c>
      <c r="S3159" s="16">
        <f t="shared" si="296"/>
        <v>41829.788252314815</v>
      </c>
      <c r="T3159" s="16">
        <f t="shared" si="297"/>
        <v>41839.208333333336</v>
      </c>
      <c r="U3159">
        <f t="shared" si="298"/>
        <v>9</v>
      </c>
      <c r="V3159">
        <f t="shared" si="29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 s="8">
        <f t="shared" si="295"/>
        <v>82.61</v>
      </c>
      <c r="Q3160" s="10" t="s">
        <v>8315</v>
      </c>
      <c r="R3160" s="10" t="s">
        <v>8316</v>
      </c>
      <c r="S3160" s="16">
        <f t="shared" si="296"/>
        <v>41447.839722222219</v>
      </c>
      <c r="T3160" s="16">
        <f t="shared" si="297"/>
        <v>41477.839722222219</v>
      </c>
      <c r="U3160">
        <f t="shared" si="298"/>
        <v>30</v>
      </c>
      <c r="V3160">
        <f t="shared" si="29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 s="8">
        <f t="shared" si="295"/>
        <v>38.5</v>
      </c>
      <c r="Q3161" s="10" t="s">
        <v>8315</v>
      </c>
      <c r="R3161" s="10" t="s">
        <v>8316</v>
      </c>
      <c r="S3161" s="16">
        <f t="shared" si="296"/>
        <v>40884.066678240742</v>
      </c>
      <c r="T3161" s="16">
        <f t="shared" si="297"/>
        <v>40926.958333333336</v>
      </c>
      <c r="U3161">
        <f t="shared" si="298"/>
        <v>43</v>
      </c>
      <c r="V3161">
        <f t="shared" si="29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 s="8">
        <f t="shared" si="295"/>
        <v>80.16</v>
      </c>
      <c r="Q3162" s="10" t="s">
        <v>8315</v>
      </c>
      <c r="R3162" s="10" t="s">
        <v>8316</v>
      </c>
      <c r="S3162" s="16">
        <f t="shared" si="296"/>
        <v>41841.26489583333</v>
      </c>
      <c r="T3162" s="16">
        <f t="shared" si="297"/>
        <v>41864.207638888889</v>
      </c>
      <c r="U3162">
        <f t="shared" si="298"/>
        <v>23</v>
      </c>
      <c r="V3162">
        <f t="shared" si="29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 s="8">
        <f t="shared" si="295"/>
        <v>28.41</v>
      </c>
      <c r="Q3163" s="10" t="s">
        <v>8315</v>
      </c>
      <c r="R3163" s="10" t="s">
        <v>8316</v>
      </c>
      <c r="S3163" s="16">
        <f t="shared" si="296"/>
        <v>41897.536134259259</v>
      </c>
      <c r="T3163" s="16">
        <f t="shared" si="297"/>
        <v>41927.536134259259</v>
      </c>
      <c r="U3163">
        <f t="shared" si="298"/>
        <v>30</v>
      </c>
      <c r="V3163">
        <f t="shared" si="2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 s="8">
        <f t="shared" si="295"/>
        <v>80.73</v>
      </c>
      <c r="Q3164" s="10" t="s">
        <v>8315</v>
      </c>
      <c r="R3164" s="10" t="s">
        <v>8316</v>
      </c>
      <c r="S3164" s="16">
        <f t="shared" si="296"/>
        <v>41799.685902777775</v>
      </c>
      <c r="T3164" s="16">
        <f t="shared" si="297"/>
        <v>41827.083333333336</v>
      </c>
      <c r="U3164">
        <f t="shared" si="298"/>
        <v>27</v>
      </c>
      <c r="V3164">
        <f t="shared" si="2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 s="8">
        <f t="shared" si="295"/>
        <v>200.69</v>
      </c>
      <c r="Q3165" s="10" t="s">
        <v>8315</v>
      </c>
      <c r="R3165" s="10" t="s">
        <v>8316</v>
      </c>
      <c r="S3165" s="16">
        <f t="shared" si="296"/>
        <v>41775.753761574073</v>
      </c>
      <c r="T3165" s="16">
        <f t="shared" si="297"/>
        <v>41805.753761574073</v>
      </c>
      <c r="U3165">
        <f t="shared" si="298"/>
        <v>30</v>
      </c>
      <c r="V3165">
        <f t="shared" si="29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 s="8">
        <f t="shared" si="295"/>
        <v>37.590000000000003</v>
      </c>
      <c r="Q3166" s="10" t="s">
        <v>8315</v>
      </c>
      <c r="R3166" s="10" t="s">
        <v>8316</v>
      </c>
      <c r="S3166" s="16">
        <f t="shared" si="296"/>
        <v>41766.80572916667</v>
      </c>
      <c r="T3166" s="16">
        <f t="shared" si="297"/>
        <v>41799.80572916667</v>
      </c>
      <c r="U3166">
        <f t="shared" si="298"/>
        <v>33</v>
      </c>
      <c r="V3166">
        <f t="shared" si="29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 s="8">
        <f t="shared" si="295"/>
        <v>58.1</v>
      </c>
      <c r="Q3167" s="10" t="s">
        <v>8315</v>
      </c>
      <c r="R3167" s="10" t="s">
        <v>8316</v>
      </c>
      <c r="S3167" s="16">
        <f t="shared" si="296"/>
        <v>40644.159259259257</v>
      </c>
      <c r="T3167" s="16">
        <f t="shared" si="297"/>
        <v>40666.165972222225</v>
      </c>
      <c r="U3167">
        <f t="shared" si="298"/>
        <v>22</v>
      </c>
      <c r="V3167">
        <f t="shared" si="2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 s="8">
        <f t="shared" si="295"/>
        <v>60.3</v>
      </c>
      <c r="Q3168" s="10" t="s">
        <v>8315</v>
      </c>
      <c r="R3168" s="10" t="s">
        <v>8316</v>
      </c>
      <c r="S3168" s="16">
        <f t="shared" si="296"/>
        <v>41940.69158564815</v>
      </c>
      <c r="T3168" s="16">
        <f t="shared" si="297"/>
        <v>41969.332638888889</v>
      </c>
      <c r="U3168">
        <f t="shared" si="298"/>
        <v>29</v>
      </c>
      <c r="V3168">
        <f t="shared" si="2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 s="8">
        <f t="shared" si="295"/>
        <v>63.36</v>
      </c>
      <c r="Q3169" s="10" t="s">
        <v>8315</v>
      </c>
      <c r="R3169" s="10" t="s">
        <v>8316</v>
      </c>
      <c r="S3169" s="16">
        <f t="shared" si="296"/>
        <v>41839.175706018519</v>
      </c>
      <c r="T3169" s="16">
        <f t="shared" si="297"/>
        <v>41853.175706018519</v>
      </c>
      <c r="U3169">
        <f t="shared" si="298"/>
        <v>14</v>
      </c>
      <c r="V3169">
        <f t="shared" si="2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 s="8">
        <f t="shared" si="295"/>
        <v>50.9</v>
      </c>
      <c r="Q3170" s="10" t="s">
        <v>8315</v>
      </c>
      <c r="R3170" s="10" t="s">
        <v>8316</v>
      </c>
      <c r="S3170" s="16">
        <f t="shared" si="296"/>
        <v>41772.105937500004</v>
      </c>
      <c r="T3170" s="16">
        <f t="shared" si="297"/>
        <v>41803.916666666664</v>
      </c>
      <c r="U3170">
        <f t="shared" si="298"/>
        <v>32</v>
      </c>
      <c r="V3170">
        <f t="shared" si="2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 s="8">
        <f t="shared" si="295"/>
        <v>100.5</v>
      </c>
      <c r="Q3171" s="10" t="s">
        <v>8315</v>
      </c>
      <c r="R3171" s="10" t="s">
        <v>8316</v>
      </c>
      <c r="S3171" s="16">
        <f t="shared" si="296"/>
        <v>41591.737974537034</v>
      </c>
      <c r="T3171" s="16">
        <f t="shared" si="297"/>
        <v>41621.207638888889</v>
      </c>
      <c r="U3171">
        <f t="shared" si="298"/>
        <v>29</v>
      </c>
      <c r="V3171">
        <f t="shared" si="29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 s="8">
        <f t="shared" si="295"/>
        <v>31.62</v>
      </c>
      <c r="Q3172" s="10" t="s">
        <v>8315</v>
      </c>
      <c r="R3172" s="10" t="s">
        <v>8316</v>
      </c>
      <c r="S3172" s="16">
        <f t="shared" si="296"/>
        <v>41789.080370370371</v>
      </c>
      <c r="T3172" s="16">
        <f t="shared" si="297"/>
        <v>41822.166666666664</v>
      </c>
      <c r="U3172">
        <f t="shared" si="298"/>
        <v>33</v>
      </c>
      <c r="V3172">
        <f t="shared" si="29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 s="8">
        <f t="shared" si="295"/>
        <v>65.099999999999994</v>
      </c>
      <c r="Q3173" s="10" t="s">
        <v>8315</v>
      </c>
      <c r="R3173" s="10" t="s">
        <v>8316</v>
      </c>
      <c r="S3173" s="16">
        <f t="shared" si="296"/>
        <v>42466.608310185184</v>
      </c>
      <c r="T3173" s="16">
        <f t="shared" si="297"/>
        <v>42496.608310185184</v>
      </c>
      <c r="U3173">
        <f t="shared" si="298"/>
        <v>30</v>
      </c>
      <c r="V3173">
        <f t="shared" si="2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 s="8">
        <f t="shared" si="295"/>
        <v>79.31</v>
      </c>
      <c r="Q3174" s="10" t="s">
        <v>8315</v>
      </c>
      <c r="R3174" s="10" t="s">
        <v>8316</v>
      </c>
      <c r="S3174" s="16">
        <f t="shared" si="296"/>
        <v>40923.729953703703</v>
      </c>
      <c r="T3174" s="16">
        <f t="shared" si="297"/>
        <v>40953.729953703703</v>
      </c>
      <c r="U3174">
        <f t="shared" si="298"/>
        <v>30</v>
      </c>
      <c r="V3174">
        <f t="shared" si="2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 s="8">
        <f t="shared" si="295"/>
        <v>139.19</v>
      </c>
      <c r="Q3175" s="10" t="s">
        <v>8315</v>
      </c>
      <c r="R3175" s="10" t="s">
        <v>8316</v>
      </c>
      <c r="S3175" s="16">
        <f t="shared" si="296"/>
        <v>41878.878379629627</v>
      </c>
      <c r="T3175" s="16">
        <f t="shared" si="297"/>
        <v>41908.878379629627</v>
      </c>
      <c r="U3175">
        <f t="shared" si="298"/>
        <v>30</v>
      </c>
      <c r="V3175">
        <f t="shared" si="29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 s="8">
        <f t="shared" si="295"/>
        <v>131.91</v>
      </c>
      <c r="Q3176" s="10" t="s">
        <v>8315</v>
      </c>
      <c r="R3176" s="10" t="s">
        <v>8316</v>
      </c>
      <c r="S3176" s="16">
        <f t="shared" si="296"/>
        <v>41862.864675925928</v>
      </c>
      <c r="T3176" s="16">
        <f t="shared" si="297"/>
        <v>41876.864675925928</v>
      </c>
      <c r="U3176">
        <f t="shared" si="298"/>
        <v>14</v>
      </c>
      <c r="V3176">
        <f t="shared" si="29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 s="8">
        <f t="shared" si="295"/>
        <v>91.3</v>
      </c>
      <c r="Q3177" s="10" t="s">
        <v>8315</v>
      </c>
      <c r="R3177" s="10" t="s">
        <v>8316</v>
      </c>
      <c r="S3177" s="16">
        <f t="shared" si="296"/>
        <v>40531.886886574073</v>
      </c>
      <c r="T3177" s="16">
        <f t="shared" si="297"/>
        <v>40591.886886574073</v>
      </c>
      <c r="U3177">
        <f t="shared" si="298"/>
        <v>60</v>
      </c>
      <c r="V3177">
        <f t="shared" si="29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 s="8">
        <f t="shared" si="295"/>
        <v>39.67</v>
      </c>
      <c r="Q3178" s="10" t="s">
        <v>8315</v>
      </c>
      <c r="R3178" s="10" t="s">
        <v>8316</v>
      </c>
      <c r="S3178" s="16">
        <f t="shared" si="296"/>
        <v>41477.930914351848</v>
      </c>
      <c r="T3178" s="16">
        <f t="shared" si="297"/>
        <v>41504.625</v>
      </c>
      <c r="U3178">
        <f t="shared" si="298"/>
        <v>27</v>
      </c>
      <c r="V3178">
        <f t="shared" si="2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 s="8">
        <f t="shared" si="295"/>
        <v>57.55</v>
      </c>
      <c r="Q3179" s="10" t="s">
        <v>8315</v>
      </c>
      <c r="R3179" s="10" t="s">
        <v>8316</v>
      </c>
      <c r="S3179" s="16">
        <f t="shared" si="296"/>
        <v>41781.666770833333</v>
      </c>
      <c r="T3179" s="16">
        <f t="shared" si="297"/>
        <v>41811.666770833333</v>
      </c>
      <c r="U3179">
        <f t="shared" si="298"/>
        <v>30</v>
      </c>
      <c r="V3179">
        <f t="shared" si="29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 s="8">
        <f t="shared" si="295"/>
        <v>33.03</v>
      </c>
      <c r="Q3180" s="10" t="s">
        <v>8315</v>
      </c>
      <c r="R3180" s="10" t="s">
        <v>8316</v>
      </c>
      <c r="S3180" s="16">
        <f t="shared" si="296"/>
        <v>41806.605034722219</v>
      </c>
      <c r="T3180" s="16">
        <f t="shared" si="297"/>
        <v>41836.605034722219</v>
      </c>
      <c r="U3180">
        <f t="shared" si="298"/>
        <v>30</v>
      </c>
      <c r="V3180">
        <f t="shared" si="29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 s="8">
        <f t="shared" si="295"/>
        <v>77.34</v>
      </c>
      <c r="Q3181" s="10" t="s">
        <v>8315</v>
      </c>
      <c r="R3181" s="10" t="s">
        <v>8316</v>
      </c>
      <c r="S3181" s="16">
        <f t="shared" si="296"/>
        <v>41375.702210648145</v>
      </c>
      <c r="T3181" s="16">
        <f t="shared" si="297"/>
        <v>41400.702210648145</v>
      </c>
      <c r="U3181">
        <f t="shared" si="298"/>
        <v>25</v>
      </c>
      <c r="V3181">
        <f t="shared" si="29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 s="8">
        <f t="shared" si="295"/>
        <v>31.93</v>
      </c>
      <c r="Q3182" s="10" t="s">
        <v>8315</v>
      </c>
      <c r="R3182" s="10" t="s">
        <v>8316</v>
      </c>
      <c r="S3182" s="16">
        <f t="shared" si="296"/>
        <v>41780.412604166668</v>
      </c>
      <c r="T3182" s="16">
        <f t="shared" si="297"/>
        <v>41810.412604166668</v>
      </c>
      <c r="U3182">
        <f t="shared" si="298"/>
        <v>30</v>
      </c>
      <c r="V3182">
        <f t="shared" si="2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 s="8">
        <f t="shared" si="295"/>
        <v>36.33</v>
      </c>
      <c r="Q3183" s="10" t="s">
        <v>8315</v>
      </c>
      <c r="R3183" s="10" t="s">
        <v>8316</v>
      </c>
      <c r="S3183" s="16">
        <f t="shared" si="296"/>
        <v>41779.310034722221</v>
      </c>
      <c r="T3183" s="16">
        <f t="shared" si="297"/>
        <v>41805.666666666664</v>
      </c>
      <c r="U3183">
        <f t="shared" si="298"/>
        <v>26</v>
      </c>
      <c r="V3183">
        <f t="shared" si="29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 s="8">
        <f t="shared" si="295"/>
        <v>46.77</v>
      </c>
      <c r="Q3184" s="10" t="s">
        <v>8315</v>
      </c>
      <c r="R3184" s="10" t="s">
        <v>8316</v>
      </c>
      <c r="S3184" s="16">
        <f t="shared" si="296"/>
        <v>40883.949317129627</v>
      </c>
      <c r="T3184" s="16">
        <f t="shared" si="297"/>
        <v>40939.708333333336</v>
      </c>
      <c r="U3184">
        <f t="shared" si="298"/>
        <v>56</v>
      </c>
      <c r="V3184">
        <f t="shared" si="29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 s="8">
        <f t="shared" si="295"/>
        <v>40.07</v>
      </c>
      <c r="Q3185" s="10" t="s">
        <v>8315</v>
      </c>
      <c r="R3185" s="10" t="s">
        <v>8316</v>
      </c>
      <c r="S3185" s="16">
        <f t="shared" si="296"/>
        <v>41491.79478009259</v>
      </c>
      <c r="T3185" s="16">
        <f t="shared" si="297"/>
        <v>41509.79478009259</v>
      </c>
      <c r="U3185">
        <f t="shared" si="298"/>
        <v>18</v>
      </c>
      <c r="V3185">
        <f t="shared" si="29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 s="8">
        <f t="shared" si="295"/>
        <v>100.22</v>
      </c>
      <c r="Q3186" s="10" t="s">
        <v>8315</v>
      </c>
      <c r="R3186" s="10" t="s">
        <v>8316</v>
      </c>
      <c r="S3186" s="16">
        <f t="shared" si="296"/>
        <v>41791.993414351848</v>
      </c>
      <c r="T3186" s="16">
        <f t="shared" si="297"/>
        <v>41821.993414351848</v>
      </c>
      <c r="U3186">
        <f t="shared" si="298"/>
        <v>30</v>
      </c>
      <c r="V3186">
        <f t="shared" si="2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 s="8">
        <f t="shared" si="295"/>
        <v>41.67</v>
      </c>
      <c r="Q3187" s="10" t="s">
        <v>8315</v>
      </c>
      <c r="R3187" s="10" t="s">
        <v>8316</v>
      </c>
      <c r="S3187" s="16">
        <f t="shared" si="296"/>
        <v>41829.977326388893</v>
      </c>
      <c r="T3187" s="16">
        <f t="shared" si="297"/>
        <v>41836.977326388893</v>
      </c>
      <c r="U3187">
        <f t="shared" si="298"/>
        <v>7</v>
      </c>
      <c r="V3187">
        <f t="shared" si="2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 s="8">
        <f t="shared" si="295"/>
        <v>46.71</v>
      </c>
      <c r="Q3188" s="10" t="s">
        <v>8315</v>
      </c>
      <c r="R3188" s="10" t="s">
        <v>8316</v>
      </c>
      <c r="S3188" s="16">
        <f t="shared" si="296"/>
        <v>41868.924050925925</v>
      </c>
      <c r="T3188" s="16">
        <f t="shared" si="297"/>
        <v>41898.875</v>
      </c>
      <c r="U3188">
        <f t="shared" si="298"/>
        <v>30</v>
      </c>
      <c r="V3188">
        <f t="shared" si="29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 s="8">
        <f t="shared" si="295"/>
        <v>71.489999999999995</v>
      </c>
      <c r="Q3189" s="10" t="s">
        <v>8315</v>
      </c>
      <c r="R3189" s="10" t="s">
        <v>8316</v>
      </c>
      <c r="S3189" s="16">
        <f t="shared" si="296"/>
        <v>41835.666354166664</v>
      </c>
      <c r="T3189" s="16">
        <f t="shared" si="297"/>
        <v>41855.666354166664</v>
      </c>
      <c r="U3189">
        <f t="shared" si="298"/>
        <v>20</v>
      </c>
      <c r="V3189">
        <f t="shared" si="2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 s="8">
        <f t="shared" si="295"/>
        <v>14.44</v>
      </c>
      <c r="Q3190" s="10" t="s">
        <v>8315</v>
      </c>
      <c r="R3190" s="10" t="s">
        <v>8357</v>
      </c>
      <c r="S3190" s="16">
        <f t="shared" si="296"/>
        <v>42144.415532407409</v>
      </c>
      <c r="T3190" s="16">
        <f t="shared" si="297"/>
        <v>42165.415532407409</v>
      </c>
      <c r="U3190">
        <f t="shared" si="298"/>
        <v>21</v>
      </c>
      <c r="V3190">
        <f t="shared" si="29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 s="8">
        <f t="shared" si="295"/>
        <v>356.84</v>
      </c>
      <c r="Q3191" s="10" t="s">
        <v>8315</v>
      </c>
      <c r="R3191" s="10" t="s">
        <v>8357</v>
      </c>
      <c r="S3191" s="16">
        <f t="shared" si="296"/>
        <v>42118.346435185187</v>
      </c>
      <c r="T3191" s="16">
        <f t="shared" si="297"/>
        <v>42148.346435185187</v>
      </c>
      <c r="U3191">
        <f t="shared" si="298"/>
        <v>30</v>
      </c>
      <c r="V3191">
        <f t="shared" si="29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 s="8">
        <f t="shared" si="295"/>
        <v>0</v>
      </c>
      <c r="Q3192" s="10" t="s">
        <v>8315</v>
      </c>
      <c r="R3192" s="10" t="s">
        <v>8357</v>
      </c>
      <c r="S3192" s="16">
        <f t="shared" si="296"/>
        <v>42683.151331018518</v>
      </c>
      <c r="T3192" s="16">
        <f t="shared" si="297"/>
        <v>42713.192997685182</v>
      </c>
      <c r="U3192">
        <f t="shared" si="298"/>
        <v>30</v>
      </c>
      <c r="V3192">
        <f t="shared" si="2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 s="8">
        <f t="shared" si="295"/>
        <v>37.75</v>
      </c>
      <c r="Q3193" s="10" t="s">
        <v>8315</v>
      </c>
      <c r="R3193" s="10" t="s">
        <v>8357</v>
      </c>
      <c r="S3193" s="16">
        <f t="shared" si="296"/>
        <v>42538.755428240736</v>
      </c>
      <c r="T3193" s="16">
        <f t="shared" si="297"/>
        <v>42598.755428240736</v>
      </c>
      <c r="U3193">
        <f t="shared" si="298"/>
        <v>60</v>
      </c>
      <c r="V3193">
        <f t="shared" si="2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 s="8">
        <f t="shared" si="295"/>
        <v>12.75</v>
      </c>
      <c r="Q3194" s="10" t="s">
        <v>8315</v>
      </c>
      <c r="R3194" s="10" t="s">
        <v>8357</v>
      </c>
      <c r="S3194" s="16">
        <f t="shared" si="296"/>
        <v>42018.94049768518</v>
      </c>
      <c r="T3194" s="16">
        <f t="shared" si="297"/>
        <v>42063.916666666672</v>
      </c>
      <c r="U3194">
        <f t="shared" si="298"/>
        <v>45</v>
      </c>
      <c r="V3194">
        <f t="shared" si="2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 s="8">
        <f t="shared" si="295"/>
        <v>24.46</v>
      </c>
      <c r="Q3195" s="10" t="s">
        <v>8315</v>
      </c>
      <c r="R3195" s="10" t="s">
        <v>8357</v>
      </c>
      <c r="S3195" s="16">
        <f t="shared" si="296"/>
        <v>42010.968240740738</v>
      </c>
      <c r="T3195" s="16">
        <f t="shared" si="297"/>
        <v>42055.968240740738</v>
      </c>
      <c r="U3195">
        <f t="shared" si="298"/>
        <v>45</v>
      </c>
      <c r="V3195">
        <f t="shared" si="2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 s="8">
        <f t="shared" si="295"/>
        <v>0</v>
      </c>
      <c r="Q3196" s="10" t="s">
        <v>8315</v>
      </c>
      <c r="R3196" s="10" t="s">
        <v>8357</v>
      </c>
      <c r="S3196" s="16">
        <f t="shared" si="296"/>
        <v>42182.062476851846</v>
      </c>
      <c r="T3196" s="16">
        <f t="shared" si="297"/>
        <v>42212.062476851846</v>
      </c>
      <c r="U3196">
        <f t="shared" si="298"/>
        <v>30</v>
      </c>
      <c r="V3196">
        <f t="shared" si="29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 s="8">
        <f t="shared" si="295"/>
        <v>53.08</v>
      </c>
      <c r="Q3197" s="10" t="s">
        <v>8315</v>
      </c>
      <c r="R3197" s="10" t="s">
        <v>8357</v>
      </c>
      <c r="S3197" s="16">
        <f t="shared" si="296"/>
        <v>42017.594236111108</v>
      </c>
      <c r="T3197" s="16">
        <f t="shared" si="297"/>
        <v>42047.594236111108</v>
      </c>
      <c r="U3197">
        <f t="shared" si="298"/>
        <v>30</v>
      </c>
      <c r="V3197">
        <f t="shared" si="2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 s="8">
        <f t="shared" si="295"/>
        <v>300</v>
      </c>
      <c r="Q3198" s="10" t="s">
        <v>8315</v>
      </c>
      <c r="R3198" s="10" t="s">
        <v>8357</v>
      </c>
      <c r="S3198" s="16">
        <f t="shared" si="296"/>
        <v>42157.598090277781</v>
      </c>
      <c r="T3198" s="16">
        <f t="shared" si="297"/>
        <v>42217.583333333328</v>
      </c>
      <c r="U3198">
        <f t="shared" si="298"/>
        <v>60</v>
      </c>
      <c r="V3198">
        <f t="shared" si="2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 s="8">
        <f t="shared" si="295"/>
        <v>286.25</v>
      </c>
      <c r="Q3199" s="10" t="s">
        <v>8315</v>
      </c>
      <c r="R3199" s="10" t="s">
        <v>8357</v>
      </c>
      <c r="S3199" s="16">
        <f t="shared" si="296"/>
        <v>42009.493263888886</v>
      </c>
      <c r="T3199" s="16">
        <f t="shared" si="297"/>
        <v>42039.493263888886</v>
      </c>
      <c r="U3199">
        <f t="shared" si="298"/>
        <v>30</v>
      </c>
      <c r="V3199">
        <f t="shared" si="29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 s="8">
        <f t="shared" si="295"/>
        <v>36.67</v>
      </c>
      <c r="Q3200" s="10" t="s">
        <v>8315</v>
      </c>
      <c r="R3200" s="10" t="s">
        <v>8357</v>
      </c>
      <c r="S3200" s="16">
        <f t="shared" si="296"/>
        <v>42013.424502314811</v>
      </c>
      <c r="T3200" s="16">
        <f t="shared" si="297"/>
        <v>42051.424502314811</v>
      </c>
      <c r="U3200">
        <f t="shared" si="298"/>
        <v>38</v>
      </c>
      <c r="V3200">
        <f t="shared" si="29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 s="8">
        <f t="shared" si="295"/>
        <v>49.21</v>
      </c>
      <c r="Q3201" s="10" t="s">
        <v>8315</v>
      </c>
      <c r="R3201" s="10" t="s">
        <v>8357</v>
      </c>
      <c r="S3201" s="16">
        <f t="shared" si="296"/>
        <v>41858.761782407404</v>
      </c>
      <c r="T3201" s="16">
        <f t="shared" si="297"/>
        <v>41888.875</v>
      </c>
      <c r="U3201">
        <f t="shared" si="298"/>
        <v>30</v>
      </c>
      <c r="V3201">
        <f t="shared" si="29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ROUND((E3202/D3202)*100, 0)</f>
        <v>0</v>
      </c>
      <c r="P3202" s="8">
        <f t="shared" ref="P3202:P3265" si="301">IFERROR(ROUND(E3202/L3202, 2), 0)</f>
        <v>1</v>
      </c>
      <c r="Q3202" s="10" t="s">
        <v>8315</v>
      </c>
      <c r="R3202" s="10" t="s">
        <v>8357</v>
      </c>
      <c r="S3202" s="16">
        <f t="shared" ref="S3202:S3265" si="302">(J3202/60/60/24)+DATE(1970, 1, 1)</f>
        <v>42460.320613425924</v>
      </c>
      <c r="T3202" s="16">
        <f t="shared" ref="T3202:T3265" si="303">(I3202/60/60/24)+DATE(1970, 1, 1)</f>
        <v>42490.231944444444</v>
      </c>
      <c r="U3202">
        <f t="shared" si="298"/>
        <v>30</v>
      </c>
      <c r="V3202">
        <f t="shared" si="2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 s="8">
        <f t="shared" si="301"/>
        <v>12.5</v>
      </c>
      <c r="Q3203" s="10" t="s">
        <v>8315</v>
      </c>
      <c r="R3203" s="10" t="s">
        <v>8357</v>
      </c>
      <c r="S3203" s="16">
        <f t="shared" si="302"/>
        <v>41861.767094907409</v>
      </c>
      <c r="T3203" s="16">
        <f t="shared" si="303"/>
        <v>41882.767094907409</v>
      </c>
      <c r="U3203">
        <f t="shared" ref="U3203:U3266" si="304">ROUND(T3203-S3203, 0)</f>
        <v>21</v>
      </c>
      <c r="V3203">
        <f t="shared" ref="V3203:V3266" si="305">YEAR($S3203)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 s="8">
        <f t="shared" si="301"/>
        <v>109.04</v>
      </c>
      <c r="Q3204" s="10" t="s">
        <v>8315</v>
      </c>
      <c r="R3204" s="10" t="s">
        <v>8357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58</v>
      </c>
      <c r="V3204">
        <f t="shared" si="305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 s="8">
        <f t="shared" si="301"/>
        <v>41.67</v>
      </c>
      <c r="Q3205" s="10" t="s">
        <v>8315</v>
      </c>
      <c r="R3205" s="10" t="s">
        <v>8357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30</v>
      </c>
      <c r="V3205">
        <f t="shared" si="305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 s="8">
        <f t="shared" si="301"/>
        <v>0</v>
      </c>
      <c r="Q3206" s="10" t="s">
        <v>8315</v>
      </c>
      <c r="R3206" s="10" t="s">
        <v>8357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30</v>
      </c>
      <c r="V3206">
        <f t="shared" si="305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 s="8">
        <f t="shared" si="301"/>
        <v>22.75</v>
      </c>
      <c r="Q3207" s="10" t="s">
        <v>8315</v>
      </c>
      <c r="R3207" s="10" t="s">
        <v>8357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30</v>
      </c>
      <c r="V3207">
        <f t="shared" si="305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 s="8">
        <f t="shared" si="301"/>
        <v>0</v>
      </c>
      <c r="Q3208" s="10" t="s">
        <v>8315</v>
      </c>
      <c r="R3208" s="10" t="s">
        <v>8357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30</v>
      </c>
      <c r="V3208">
        <f t="shared" si="305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 s="8">
        <f t="shared" si="301"/>
        <v>70.83</v>
      </c>
      <c r="Q3209" s="10" t="s">
        <v>8315</v>
      </c>
      <c r="R3209" s="10" t="s">
        <v>8357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60</v>
      </c>
      <c r="V3209">
        <f t="shared" si="305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 s="8">
        <f t="shared" si="301"/>
        <v>63.11</v>
      </c>
      <c r="Q3210" s="10" t="s">
        <v>8315</v>
      </c>
      <c r="R3210" s="10" t="s">
        <v>8316</v>
      </c>
      <c r="S3210" s="16">
        <f t="shared" si="302"/>
        <v>41827.605057870373</v>
      </c>
      <c r="T3210" s="16">
        <f t="shared" si="303"/>
        <v>41848.605057870373</v>
      </c>
      <c r="U3210">
        <f t="shared" si="304"/>
        <v>21</v>
      </c>
      <c r="V3210">
        <f t="shared" si="305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 s="8">
        <f t="shared" si="301"/>
        <v>50.16</v>
      </c>
      <c r="Q3211" s="10" t="s">
        <v>8315</v>
      </c>
      <c r="R3211" s="10" t="s">
        <v>8316</v>
      </c>
      <c r="S3211" s="16">
        <f t="shared" si="302"/>
        <v>41778.637245370373</v>
      </c>
      <c r="T3211" s="16">
        <f t="shared" si="303"/>
        <v>41810.958333333336</v>
      </c>
      <c r="U3211">
        <f t="shared" si="304"/>
        <v>32</v>
      </c>
      <c r="V3211">
        <f t="shared" si="305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 s="8">
        <f t="shared" si="301"/>
        <v>62.88</v>
      </c>
      <c r="Q3212" s="10" t="s">
        <v>8315</v>
      </c>
      <c r="R3212" s="10" t="s">
        <v>8316</v>
      </c>
      <c r="S3212" s="16">
        <f t="shared" si="302"/>
        <v>41013.936562499999</v>
      </c>
      <c r="T3212" s="16">
        <f t="shared" si="303"/>
        <v>41061.165972222225</v>
      </c>
      <c r="U3212">
        <f t="shared" si="304"/>
        <v>47</v>
      </c>
      <c r="V3212">
        <f t="shared" si="305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 s="8">
        <f t="shared" si="301"/>
        <v>85.53</v>
      </c>
      <c r="Q3213" s="10" t="s">
        <v>8315</v>
      </c>
      <c r="R3213" s="10" t="s">
        <v>8316</v>
      </c>
      <c r="S3213" s="16">
        <f t="shared" si="302"/>
        <v>41834.586574074077</v>
      </c>
      <c r="T3213" s="16">
        <f t="shared" si="303"/>
        <v>41866.083333333336</v>
      </c>
      <c r="U3213">
        <f t="shared" si="304"/>
        <v>31</v>
      </c>
      <c r="V3213">
        <f t="shared" si="305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 s="8">
        <f t="shared" si="301"/>
        <v>53.72</v>
      </c>
      <c r="Q3214" s="10" t="s">
        <v>8315</v>
      </c>
      <c r="R3214" s="10" t="s">
        <v>8316</v>
      </c>
      <c r="S3214" s="16">
        <f t="shared" si="302"/>
        <v>41829.795729166668</v>
      </c>
      <c r="T3214" s="16">
        <f t="shared" si="303"/>
        <v>41859.795729166668</v>
      </c>
      <c r="U3214">
        <f t="shared" si="304"/>
        <v>30</v>
      </c>
      <c r="V3214">
        <f t="shared" si="305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 s="8">
        <f t="shared" si="301"/>
        <v>127.81</v>
      </c>
      <c r="Q3215" s="10" t="s">
        <v>8315</v>
      </c>
      <c r="R3215" s="10" t="s">
        <v>8316</v>
      </c>
      <c r="S3215" s="16">
        <f t="shared" si="302"/>
        <v>42171.763414351852</v>
      </c>
      <c r="T3215" s="16">
        <f t="shared" si="303"/>
        <v>42211.763414351852</v>
      </c>
      <c r="U3215">
        <f t="shared" si="304"/>
        <v>40</v>
      </c>
      <c r="V3215">
        <f t="shared" si="305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 s="8">
        <f t="shared" si="301"/>
        <v>106.57</v>
      </c>
      <c r="Q3216" s="10" t="s">
        <v>8315</v>
      </c>
      <c r="R3216" s="10" t="s">
        <v>8316</v>
      </c>
      <c r="S3216" s="16">
        <f t="shared" si="302"/>
        <v>42337.792511574073</v>
      </c>
      <c r="T3216" s="16">
        <f t="shared" si="303"/>
        <v>42374.996527777781</v>
      </c>
      <c r="U3216">
        <f t="shared" si="304"/>
        <v>37</v>
      </c>
      <c r="V3216">
        <f t="shared" si="305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 s="8">
        <f t="shared" si="301"/>
        <v>262.11</v>
      </c>
      <c r="Q3217" s="10" t="s">
        <v>8315</v>
      </c>
      <c r="R3217" s="10" t="s">
        <v>8316</v>
      </c>
      <c r="S3217" s="16">
        <f t="shared" si="302"/>
        <v>42219.665173611109</v>
      </c>
      <c r="T3217" s="16">
        <f t="shared" si="303"/>
        <v>42257.165972222225</v>
      </c>
      <c r="U3217">
        <f t="shared" si="304"/>
        <v>38</v>
      </c>
      <c r="V3217">
        <f t="shared" si="305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 s="8">
        <f t="shared" si="301"/>
        <v>57.17</v>
      </c>
      <c r="Q3218" s="10" t="s">
        <v>8315</v>
      </c>
      <c r="R3218" s="10" t="s">
        <v>8316</v>
      </c>
      <c r="S3218" s="16">
        <f t="shared" si="302"/>
        <v>42165.462627314817</v>
      </c>
      <c r="T3218" s="16">
        <f t="shared" si="303"/>
        <v>42196.604166666672</v>
      </c>
      <c r="U3218">
        <f t="shared" si="304"/>
        <v>31</v>
      </c>
      <c r="V3218">
        <f t="shared" si="305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 s="8">
        <f t="shared" si="301"/>
        <v>50.2</v>
      </c>
      <c r="Q3219" s="10" t="s">
        <v>8315</v>
      </c>
      <c r="R3219" s="10" t="s">
        <v>8316</v>
      </c>
      <c r="S3219" s="16">
        <f t="shared" si="302"/>
        <v>42648.546111111107</v>
      </c>
      <c r="T3219" s="16">
        <f t="shared" si="303"/>
        <v>42678.546111111107</v>
      </c>
      <c r="U3219">
        <f t="shared" si="304"/>
        <v>30</v>
      </c>
      <c r="V3219">
        <f t="shared" si="305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 s="8">
        <f t="shared" si="301"/>
        <v>66.59</v>
      </c>
      <c r="Q3220" s="10" t="s">
        <v>8315</v>
      </c>
      <c r="R3220" s="10" t="s">
        <v>8316</v>
      </c>
      <c r="S3220" s="16">
        <f t="shared" si="302"/>
        <v>41971.002152777779</v>
      </c>
      <c r="T3220" s="16">
        <f t="shared" si="303"/>
        <v>42004</v>
      </c>
      <c r="U3220">
        <f t="shared" si="304"/>
        <v>33</v>
      </c>
      <c r="V3220">
        <f t="shared" si="305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 s="8">
        <f t="shared" si="301"/>
        <v>168.25</v>
      </c>
      <c r="Q3221" s="10" t="s">
        <v>8315</v>
      </c>
      <c r="R3221" s="10" t="s">
        <v>8316</v>
      </c>
      <c r="S3221" s="16">
        <f t="shared" si="302"/>
        <v>42050.983182870375</v>
      </c>
      <c r="T3221" s="16">
        <f t="shared" si="303"/>
        <v>42085.941516203704</v>
      </c>
      <c r="U3221">
        <f t="shared" si="304"/>
        <v>35</v>
      </c>
      <c r="V3221">
        <f t="shared" si="305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 s="8">
        <f t="shared" si="301"/>
        <v>256.37</v>
      </c>
      <c r="Q3222" s="10" t="s">
        <v>8315</v>
      </c>
      <c r="R3222" s="10" t="s">
        <v>8316</v>
      </c>
      <c r="S3222" s="16">
        <f t="shared" si="302"/>
        <v>42772.833379629628</v>
      </c>
      <c r="T3222" s="16">
        <f t="shared" si="303"/>
        <v>42806.875</v>
      </c>
      <c r="U3222">
        <f t="shared" si="304"/>
        <v>34</v>
      </c>
      <c r="V3222">
        <f t="shared" si="305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 s="8">
        <f t="shared" si="301"/>
        <v>36.61</v>
      </c>
      <c r="Q3223" s="10" t="s">
        <v>8315</v>
      </c>
      <c r="R3223" s="10" t="s">
        <v>8316</v>
      </c>
      <c r="S3223" s="16">
        <f t="shared" si="302"/>
        <v>42155.696793981479</v>
      </c>
      <c r="T3223" s="16">
        <f t="shared" si="303"/>
        <v>42190.696793981479</v>
      </c>
      <c r="U3223">
        <f t="shared" si="304"/>
        <v>35</v>
      </c>
      <c r="V3223">
        <f t="shared" si="305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 s="8">
        <f t="shared" si="301"/>
        <v>37.14</v>
      </c>
      <c r="Q3224" s="10" t="s">
        <v>8315</v>
      </c>
      <c r="R3224" s="10" t="s">
        <v>8316</v>
      </c>
      <c r="S3224" s="16">
        <f t="shared" si="302"/>
        <v>42270.582141203704</v>
      </c>
      <c r="T3224" s="16">
        <f t="shared" si="303"/>
        <v>42301.895138888889</v>
      </c>
      <c r="U3224">
        <f t="shared" si="304"/>
        <v>31</v>
      </c>
      <c r="V3224">
        <f t="shared" si="305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 s="8">
        <f t="shared" si="301"/>
        <v>45.88</v>
      </c>
      <c r="Q3225" s="10" t="s">
        <v>8315</v>
      </c>
      <c r="R3225" s="10" t="s">
        <v>8316</v>
      </c>
      <c r="S3225" s="16">
        <f t="shared" si="302"/>
        <v>42206.835370370376</v>
      </c>
      <c r="T3225" s="16">
        <f t="shared" si="303"/>
        <v>42236.835370370376</v>
      </c>
      <c r="U3225">
        <f t="shared" si="304"/>
        <v>30</v>
      </c>
      <c r="V3225">
        <f t="shared" si="305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 s="8">
        <f t="shared" si="301"/>
        <v>141.71</v>
      </c>
      <c r="Q3226" s="10" t="s">
        <v>8315</v>
      </c>
      <c r="R3226" s="10" t="s">
        <v>8316</v>
      </c>
      <c r="S3226" s="16">
        <f t="shared" si="302"/>
        <v>42697.850844907407</v>
      </c>
      <c r="T3226" s="16">
        <f t="shared" si="303"/>
        <v>42745.208333333328</v>
      </c>
      <c r="U3226">
        <f t="shared" si="304"/>
        <v>47</v>
      </c>
      <c r="V3226">
        <f t="shared" si="305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 s="8">
        <f t="shared" si="301"/>
        <v>52.49</v>
      </c>
      <c r="Q3227" s="10" t="s">
        <v>8315</v>
      </c>
      <c r="R3227" s="10" t="s">
        <v>8316</v>
      </c>
      <c r="S3227" s="16">
        <f t="shared" si="302"/>
        <v>42503.559467592597</v>
      </c>
      <c r="T3227" s="16">
        <f t="shared" si="303"/>
        <v>42524.875</v>
      </c>
      <c r="U3227">
        <f t="shared" si="304"/>
        <v>21</v>
      </c>
      <c r="V3227">
        <f t="shared" si="305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 s="8">
        <f t="shared" si="301"/>
        <v>59.52</v>
      </c>
      <c r="Q3228" s="10" t="s">
        <v>8315</v>
      </c>
      <c r="R3228" s="10" t="s">
        <v>8316</v>
      </c>
      <c r="S3228" s="16">
        <f t="shared" si="302"/>
        <v>42277.583472222221</v>
      </c>
      <c r="T3228" s="16">
        <f t="shared" si="303"/>
        <v>42307.583472222221</v>
      </c>
      <c r="U3228">
        <f t="shared" si="304"/>
        <v>30</v>
      </c>
      <c r="V3228">
        <f t="shared" si="305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 s="8">
        <f t="shared" si="301"/>
        <v>50</v>
      </c>
      <c r="Q3229" s="10" t="s">
        <v>8315</v>
      </c>
      <c r="R3229" s="10" t="s">
        <v>8316</v>
      </c>
      <c r="S3229" s="16">
        <f t="shared" si="302"/>
        <v>42722.882361111115</v>
      </c>
      <c r="T3229" s="16">
        <f t="shared" si="303"/>
        <v>42752.882361111115</v>
      </c>
      <c r="U3229">
        <f t="shared" si="304"/>
        <v>30</v>
      </c>
      <c r="V3229">
        <f t="shared" si="305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 s="8">
        <f t="shared" si="301"/>
        <v>193.62</v>
      </c>
      <c r="Q3230" s="10" t="s">
        <v>8315</v>
      </c>
      <c r="R3230" s="10" t="s">
        <v>8316</v>
      </c>
      <c r="S3230" s="16">
        <f t="shared" si="302"/>
        <v>42323.70930555556</v>
      </c>
      <c r="T3230" s="16">
        <f t="shared" si="303"/>
        <v>42355.207638888889</v>
      </c>
      <c r="U3230">
        <f t="shared" si="304"/>
        <v>31</v>
      </c>
      <c r="V3230">
        <f t="shared" si="305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 s="8">
        <f t="shared" si="301"/>
        <v>106.8</v>
      </c>
      <c r="Q3231" s="10" t="s">
        <v>8315</v>
      </c>
      <c r="R3231" s="10" t="s">
        <v>8316</v>
      </c>
      <c r="S3231" s="16">
        <f t="shared" si="302"/>
        <v>41933.291643518518</v>
      </c>
      <c r="T3231" s="16">
        <f t="shared" si="303"/>
        <v>41963.333310185189</v>
      </c>
      <c r="U3231">
        <f t="shared" si="304"/>
        <v>30</v>
      </c>
      <c r="V3231">
        <f t="shared" si="305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 s="8">
        <f t="shared" si="301"/>
        <v>77.22</v>
      </c>
      <c r="Q3232" s="10" t="s">
        <v>8315</v>
      </c>
      <c r="R3232" s="10" t="s">
        <v>8316</v>
      </c>
      <c r="S3232" s="16">
        <f t="shared" si="302"/>
        <v>41898.168125000004</v>
      </c>
      <c r="T3232" s="16">
        <f t="shared" si="303"/>
        <v>41913.165972222225</v>
      </c>
      <c r="U3232">
        <f t="shared" si="304"/>
        <v>15</v>
      </c>
      <c r="V3232">
        <f t="shared" si="305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 s="8">
        <f t="shared" si="301"/>
        <v>57.5</v>
      </c>
      <c r="Q3233" s="10" t="s">
        <v>8315</v>
      </c>
      <c r="R3233" s="10" t="s">
        <v>8316</v>
      </c>
      <c r="S3233" s="16">
        <f t="shared" si="302"/>
        <v>42446.943831018521</v>
      </c>
      <c r="T3233" s="16">
        <f t="shared" si="303"/>
        <v>42476.943831018521</v>
      </c>
      <c r="U3233">
        <f t="shared" si="304"/>
        <v>30</v>
      </c>
      <c r="V3233">
        <f t="shared" si="305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 s="8">
        <f t="shared" si="301"/>
        <v>50.46</v>
      </c>
      <c r="Q3234" s="10" t="s">
        <v>8315</v>
      </c>
      <c r="R3234" s="10" t="s">
        <v>8316</v>
      </c>
      <c r="S3234" s="16">
        <f t="shared" si="302"/>
        <v>42463.81385416667</v>
      </c>
      <c r="T3234" s="16">
        <f t="shared" si="303"/>
        <v>42494.165972222225</v>
      </c>
      <c r="U3234">
        <f t="shared" si="304"/>
        <v>30</v>
      </c>
      <c r="V3234">
        <f t="shared" si="305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 s="8">
        <f t="shared" si="301"/>
        <v>97.38</v>
      </c>
      <c r="Q3235" s="10" t="s">
        <v>8315</v>
      </c>
      <c r="R3235" s="10" t="s">
        <v>8316</v>
      </c>
      <c r="S3235" s="16">
        <f t="shared" si="302"/>
        <v>42766.805034722223</v>
      </c>
      <c r="T3235" s="16">
        <f t="shared" si="303"/>
        <v>42796.805034722223</v>
      </c>
      <c r="U3235">
        <f t="shared" si="304"/>
        <v>30</v>
      </c>
      <c r="V3235">
        <f t="shared" si="305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 s="8">
        <f t="shared" si="301"/>
        <v>34.92</v>
      </c>
      <c r="Q3236" s="10" t="s">
        <v>8315</v>
      </c>
      <c r="R3236" s="10" t="s">
        <v>8316</v>
      </c>
      <c r="S3236" s="16">
        <f t="shared" si="302"/>
        <v>42734.789444444439</v>
      </c>
      <c r="T3236" s="16">
        <f t="shared" si="303"/>
        <v>42767.979861111111</v>
      </c>
      <c r="U3236">
        <f t="shared" si="304"/>
        <v>33</v>
      </c>
      <c r="V3236">
        <f t="shared" si="305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 s="8">
        <f t="shared" si="301"/>
        <v>85.53</v>
      </c>
      <c r="Q3237" s="10" t="s">
        <v>8315</v>
      </c>
      <c r="R3237" s="10" t="s">
        <v>8316</v>
      </c>
      <c r="S3237" s="16">
        <f t="shared" si="302"/>
        <v>42522.347812499997</v>
      </c>
      <c r="T3237" s="16">
        <f t="shared" si="303"/>
        <v>42552.347812499997</v>
      </c>
      <c r="U3237">
        <f t="shared" si="304"/>
        <v>30</v>
      </c>
      <c r="V3237">
        <f t="shared" si="305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 s="8">
        <f t="shared" si="301"/>
        <v>182.91</v>
      </c>
      <c r="Q3238" s="10" t="s">
        <v>8315</v>
      </c>
      <c r="R3238" s="10" t="s">
        <v>8316</v>
      </c>
      <c r="S3238" s="16">
        <f t="shared" si="302"/>
        <v>42702.917048611111</v>
      </c>
      <c r="T3238" s="16">
        <f t="shared" si="303"/>
        <v>42732.917048611111</v>
      </c>
      <c r="U3238">
        <f t="shared" si="304"/>
        <v>30</v>
      </c>
      <c r="V3238">
        <f t="shared" si="305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 s="8">
        <f t="shared" si="301"/>
        <v>131.13999999999999</v>
      </c>
      <c r="Q3239" s="10" t="s">
        <v>8315</v>
      </c>
      <c r="R3239" s="10" t="s">
        <v>8316</v>
      </c>
      <c r="S3239" s="16">
        <f t="shared" si="302"/>
        <v>42252.474351851852</v>
      </c>
      <c r="T3239" s="16">
        <f t="shared" si="303"/>
        <v>42276.165972222225</v>
      </c>
      <c r="U3239">
        <f t="shared" si="304"/>
        <v>24</v>
      </c>
      <c r="V3239">
        <f t="shared" si="305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 s="8">
        <f t="shared" si="301"/>
        <v>39.81</v>
      </c>
      <c r="Q3240" s="10" t="s">
        <v>8315</v>
      </c>
      <c r="R3240" s="10" t="s">
        <v>8316</v>
      </c>
      <c r="S3240" s="16">
        <f t="shared" si="302"/>
        <v>42156.510393518518</v>
      </c>
      <c r="T3240" s="16">
        <f t="shared" si="303"/>
        <v>42186.510393518518</v>
      </c>
      <c r="U3240">
        <f t="shared" si="304"/>
        <v>30</v>
      </c>
      <c r="V3240">
        <f t="shared" si="305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 s="8">
        <f t="shared" si="301"/>
        <v>59.7</v>
      </c>
      <c r="Q3241" s="10" t="s">
        <v>8315</v>
      </c>
      <c r="R3241" s="10" t="s">
        <v>8316</v>
      </c>
      <c r="S3241" s="16">
        <f t="shared" si="302"/>
        <v>42278.089039351849</v>
      </c>
      <c r="T3241" s="16">
        <f t="shared" si="303"/>
        <v>42302.999305555553</v>
      </c>
      <c r="U3241">
        <f t="shared" si="304"/>
        <v>25</v>
      </c>
      <c r="V3241">
        <f t="shared" si="305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 s="8">
        <f t="shared" si="301"/>
        <v>88.74</v>
      </c>
      <c r="Q3242" s="10" t="s">
        <v>8315</v>
      </c>
      <c r="R3242" s="10" t="s">
        <v>8316</v>
      </c>
      <c r="S3242" s="16">
        <f t="shared" si="302"/>
        <v>42754.693842592591</v>
      </c>
      <c r="T3242" s="16">
        <f t="shared" si="303"/>
        <v>42782.958333333328</v>
      </c>
      <c r="U3242">
        <f t="shared" si="304"/>
        <v>28</v>
      </c>
      <c r="V3242">
        <f t="shared" si="305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 s="8">
        <f t="shared" si="301"/>
        <v>58.69</v>
      </c>
      <c r="Q3243" s="10" t="s">
        <v>8315</v>
      </c>
      <c r="R3243" s="10" t="s">
        <v>8316</v>
      </c>
      <c r="S3243" s="16">
        <f t="shared" si="302"/>
        <v>41893.324884259258</v>
      </c>
      <c r="T3243" s="16">
        <f t="shared" si="303"/>
        <v>41926.290972222225</v>
      </c>
      <c r="U3243">
        <f t="shared" si="304"/>
        <v>33</v>
      </c>
      <c r="V3243">
        <f t="shared" si="305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 s="8">
        <f t="shared" si="301"/>
        <v>69.569999999999993</v>
      </c>
      <c r="Q3244" s="10" t="s">
        <v>8315</v>
      </c>
      <c r="R3244" s="10" t="s">
        <v>8316</v>
      </c>
      <c r="S3244" s="16">
        <f t="shared" si="302"/>
        <v>41871.755694444444</v>
      </c>
      <c r="T3244" s="16">
        <f t="shared" si="303"/>
        <v>41901.755694444444</v>
      </c>
      <c r="U3244">
        <f t="shared" si="304"/>
        <v>30</v>
      </c>
      <c r="V3244">
        <f t="shared" si="305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 s="8">
        <f t="shared" si="301"/>
        <v>115.87</v>
      </c>
      <c r="Q3245" s="10" t="s">
        <v>8315</v>
      </c>
      <c r="R3245" s="10" t="s">
        <v>8316</v>
      </c>
      <c r="S3245" s="16">
        <f t="shared" si="302"/>
        <v>42262.096782407403</v>
      </c>
      <c r="T3245" s="16">
        <f t="shared" si="303"/>
        <v>42286</v>
      </c>
      <c r="U3245">
        <f t="shared" si="304"/>
        <v>24</v>
      </c>
      <c r="V3245">
        <f t="shared" si="305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 s="8">
        <f t="shared" si="301"/>
        <v>23.87</v>
      </c>
      <c r="Q3246" s="10" t="s">
        <v>8315</v>
      </c>
      <c r="R3246" s="10" t="s">
        <v>8316</v>
      </c>
      <c r="S3246" s="16">
        <f t="shared" si="302"/>
        <v>42675.694236111114</v>
      </c>
      <c r="T3246" s="16">
        <f t="shared" si="303"/>
        <v>42705.735902777778</v>
      </c>
      <c r="U3246">
        <f t="shared" si="304"/>
        <v>30</v>
      </c>
      <c r="V3246">
        <f t="shared" si="305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 s="8">
        <f t="shared" si="301"/>
        <v>81.13</v>
      </c>
      <c r="Q3247" s="10" t="s">
        <v>8315</v>
      </c>
      <c r="R3247" s="10" t="s">
        <v>8316</v>
      </c>
      <c r="S3247" s="16">
        <f t="shared" si="302"/>
        <v>42135.60020833333</v>
      </c>
      <c r="T3247" s="16">
        <f t="shared" si="303"/>
        <v>42167.083333333328</v>
      </c>
      <c r="U3247">
        <f t="shared" si="304"/>
        <v>31</v>
      </c>
      <c r="V3247">
        <f t="shared" si="305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 s="8">
        <f t="shared" si="301"/>
        <v>57.63</v>
      </c>
      <c r="Q3248" s="10" t="s">
        <v>8315</v>
      </c>
      <c r="R3248" s="10" t="s">
        <v>8316</v>
      </c>
      <c r="S3248" s="16">
        <f t="shared" si="302"/>
        <v>42230.472222222219</v>
      </c>
      <c r="T3248" s="16">
        <f t="shared" si="303"/>
        <v>42259.165972222225</v>
      </c>
      <c r="U3248">
        <f t="shared" si="304"/>
        <v>29</v>
      </c>
      <c r="V3248">
        <f t="shared" si="305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 s="8">
        <f t="shared" si="301"/>
        <v>46.43</v>
      </c>
      <c r="Q3249" s="10" t="s">
        <v>8315</v>
      </c>
      <c r="R3249" s="10" t="s">
        <v>8316</v>
      </c>
      <c r="S3249" s="16">
        <f t="shared" si="302"/>
        <v>42167.434166666666</v>
      </c>
      <c r="T3249" s="16">
        <f t="shared" si="303"/>
        <v>42197.434166666666</v>
      </c>
      <c r="U3249">
        <f t="shared" si="304"/>
        <v>30</v>
      </c>
      <c r="V3249">
        <f t="shared" si="305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 s="8">
        <f t="shared" si="301"/>
        <v>60.48</v>
      </c>
      <c r="Q3250" s="10" t="s">
        <v>8315</v>
      </c>
      <c r="R3250" s="10" t="s">
        <v>8316</v>
      </c>
      <c r="S3250" s="16">
        <f t="shared" si="302"/>
        <v>42068.888391203705</v>
      </c>
      <c r="T3250" s="16">
        <f t="shared" si="303"/>
        <v>42098.846724537041</v>
      </c>
      <c r="U3250">
        <f t="shared" si="304"/>
        <v>30</v>
      </c>
      <c r="V3250">
        <f t="shared" si="305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 s="8">
        <f t="shared" si="301"/>
        <v>65.58</v>
      </c>
      <c r="Q3251" s="10" t="s">
        <v>8315</v>
      </c>
      <c r="R3251" s="10" t="s">
        <v>8316</v>
      </c>
      <c r="S3251" s="16">
        <f t="shared" si="302"/>
        <v>42145.746689814812</v>
      </c>
      <c r="T3251" s="16">
        <f t="shared" si="303"/>
        <v>42175.746689814812</v>
      </c>
      <c r="U3251">
        <f t="shared" si="304"/>
        <v>30</v>
      </c>
      <c r="V3251">
        <f t="shared" si="305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 s="8">
        <f t="shared" si="301"/>
        <v>119.19</v>
      </c>
      <c r="Q3252" s="10" t="s">
        <v>8315</v>
      </c>
      <c r="R3252" s="10" t="s">
        <v>8316</v>
      </c>
      <c r="S3252" s="16">
        <f t="shared" si="302"/>
        <v>41918.742175925923</v>
      </c>
      <c r="T3252" s="16">
        <f t="shared" si="303"/>
        <v>41948.783842592595</v>
      </c>
      <c r="U3252">
        <f t="shared" si="304"/>
        <v>30</v>
      </c>
      <c r="V3252">
        <f t="shared" si="305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 s="8">
        <f t="shared" si="301"/>
        <v>83.05</v>
      </c>
      <c r="Q3253" s="10" t="s">
        <v>8315</v>
      </c>
      <c r="R3253" s="10" t="s">
        <v>8316</v>
      </c>
      <c r="S3253" s="16">
        <f t="shared" si="302"/>
        <v>42146.731087962966</v>
      </c>
      <c r="T3253" s="16">
        <f t="shared" si="303"/>
        <v>42176.731087962966</v>
      </c>
      <c r="U3253">
        <f t="shared" si="304"/>
        <v>30</v>
      </c>
      <c r="V3253">
        <f t="shared" si="305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 s="8">
        <f t="shared" si="301"/>
        <v>57.52</v>
      </c>
      <c r="Q3254" s="10" t="s">
        <v>8315</v>
      </c>
      <c r="R3254" s="10" t="s">
        <v>8316</v>
      </c>
      <c r="S3254" s="16">
        <f t="shared" si="302"/>
        <v>42590.472685185188</v>
      </c>
      <c r="T3254" s="16">
        <f t="shared" si="303"/>
        <v>42620.472685185188</v>
      </c>
      <c r="U3254">
        <f t="shared" si="304"/>
        <v>30</v>
      </c>
      <c r="V3254">
        <f t="shared" si="305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 s="8">
        <f t="shared" si="301"/>
        <v>177.09</v>
      </c>
      <c r="Q3255" s="10" t="s">
        <v>8315</v>
      </c>
      <c r="R3255" s="10" t="s">
        <v>8316</v>
      </c>
      <c r="S3255" s="16">
        <f t="shared" si="302"/>
        <v>42602.576712962968</v>
      </c>
      <c r="T3255" s="16">
        <f t="shared" si="303"/>
        <v>42621.15625</v>
      </c>
      <c r="U3255">
        <f t="shared" si="304"/>
        <v>19</v>
      </c>
      <c r="V3255">
        <f t="shared" si="305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 s="8">
        <f t="shared" si="301"/>
        <v>70.77</v>
      </c>
      <c r="Q3256" s="10" t="s">
        <v>8315</v>
      </c>
      <c r="R3256" s="10" t="s">
        <v>8316</v>
      </c>
      <c r="S3256" s="16">
        <f t="shared" si="302"/>
        <v>42059.085752314815</v>
      </c>
      <c r="T3256" s="16">
        <f t="shared" si="303"/>
        <v>42089.044085648144</v>
      </c>
      <c r="U3256">
        <f t="shared" si="304"/>
        <v>30</v>
      </c>
      <c r="V3256">
        <f t="shared" si="305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 s="8">
        <f t="shared" si="301"/>
        <v>29.17</v>
      </c>
      <c r="Q3257" s="10" t="s">
        <v>8315</v>
      </c>
      <c r="R3257" s="10" t="s">
        <v>8316</v>
      </c>
      <c r="S3257" s="16">
        <f t="shared" si="302"/>
        <v>41889.768229166664</v>
      </c>
      <c r="T3257" s="16">
        <f t="shared" si="303"/>
        <v>41919.768229166664</v>
      </c>
      <c r="U3257">
        <f t="shared" si="304"/>
        <v>30</v>
      </c>
      <c r="V3257">
        <f t="shared" si="305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 s="8">
        <f t="shared" si="301"/>
        <v>72.760000000000005</v>
      </c>
      <c r="Q3258" s="10" t="s">
        <v>8315</v>
      </c>
      <c r="R3258" s="10" t="s">
        <v>8316</v>
      </c>
      <c r="S3258" s="16">
        <f t="shared" si="302"/>
        <v>42144.573807870373</v>
      </c>
      <c r="T3258" s="16">
        <f t="shared" si="303"/>
        <v>42166.165972222225</v>
      </c>
      <c r="U3258">
        <f t="shared" si="304"/>
        <v>22</v>
      </c>
      <c r="V3258">
        <f t="shared" si="305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 s="8">
        <f t="shared" si="301"/>
        <v>51.85</v>
      </c>
      <c r="Q3259" s="10" t="s">
        <v>8315</v>
      </c>
      <c r="R3259" s="10" t="s">
        <v>8316</v>
      </c>
      <c r="S3259" s="16">
        <f t="shared" si="302"/>
        <v>42758.559629629628</v>
      </c>
      <c r="T3259" s="16">
        <f t="shared" si="303"/>
        <v>42788.559629629628</v>
      </c>
      <c r="U3259">
        <f t="shared" si="304"/>
        <v>30</v>
      </c>
      <c r="V3259">
        <f t="shared" si="305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 s="8">
        <f t="shared" si="301"/>
        <v>98.2</v>
      </c>
      <c r="Q3260" s="10" t="s">
        <v>8315</v>
      </c>
      <c r="R3260" s="10" t="s">
        <v>8316</v>
      </c>
      <c r="S3260" s="16">
        <f t="shared" si="302"/>
        <v>41982.887280092589</v>
      </c>
      <c r="T3260" s="16">
        <f t="shared" si="303"/>
        <v>42012.887280092589</v>
      </c>
      <c r="U3260">
        <f t="shared" si="304"/>
        <v>30</v>
      </c>
      <c r="V3260">
        <f t="shared" si="305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 s="8">
        <f t="shared" si="301"/>
        <v>251.74</v>
      </c>
      <c r="Q3261" s="10" t="s">
        <v>8315</v>
      </c>
      <c r="R3261" s="10" t="s">
        <v>8316</v>
      </c>
      <c r="S3261" s="16">
        <f t="shared" si="302"/>
        <v>42614.760937500003</v>
      </c>
      <c r="T3261" s="16">
        <f t="shared" si="303"/>
        <v>42644.165972222225</v>
      </c>
      <c r="U3261">
        <f t="shared" si="304"/>
        <v>29</v>
      </c>
      <c r="V3261">
        <f t="shared" si="305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 s="8">
        <f t="shared" si="301"/>
        <v>74.819999999999993</v>
      </c>
      <c r="Q3262" s="10" t="s">
        <v>8315</v>
      </c>
      <c r="R3262" s="10" t="s">
        <v>8316</v>
      </c>
      <c r="S3262" s="16">
        <f t="shared" si="302"/>
        <v>42303.672662037032</v>
      </c>
      <c r="T3262" s="16">
        <f t="shared" si="303"/>
        <v>42338.714328703703</v>
      </c>
      <c r="U3262">
        <f t="shared" si="304"/>
        <v>35</v>
      </c>
      <c r="V3262">
        <f t="shared" si="305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 s="8">
        <f t="shared" si="301"/>
        <v>67.650000000000006</v>
      </c>
      <c r="Q3263" s="10" t="s">
        <v>8315</v>
      </c>
      <c r="R3263" s="10" t="s">
        <v>8316</v>
      </c>
      <c r="S3263" s="16">
        <f t="shared" si="302"/>
        <v>42171.725416666668</v>
      </c>
      <c r="T3263" s="16">
        <f t="shared" si="303"/>
        <v>42201.725416666668</v>
      </c>
      <c r="U3263">
        <f t="shared" si="304"/>
        <v>30</v>
      </c>
      <c r="V3263">
        <f t="shared" si="305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 s="8">
        <f t="shared" si="301"/>
        <v>93.81</v>
      </c>
      <c r="Q3264" s="10" t="s">
        <v>8315</v>
      </c>
      <c r="R3264" s="10" t="s">
        <v>8316</v>
      </c>
      <c r="S3264" s="16">
        <f t="shared" si="302"/>
        <v>41964.315532407403</v>
      </c>
      <c r="T3264" s="16">
        <f t="shared" si="303"/>
        <v>41995.166666666672</v>
      </c>
      <c r="U3264">
        <f t="shared" si="304"/>
        <v>31</v>
      </c>
      <c r="V3264">
        <f t="shared" si="305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 s="8">
        <f t="shared" si="301"/>
        <v>41.24</v>
      </c>
      <c r="Q3265" s="10" t="s">
        <v>8315</v>
      </c>
      <c r="R3265" s="10" t="s">
        <v>8316</v>
      </c>
      <c r="S3265" s="16">
        <f t="shared" si="302"/>
        <v>42284.516064814816</v>
      </c>
      <c r="T3265" s="16">
        <f t="shared" si="303"/>
        <v>42307.875</v>
      </c>
      <c r="U3265">
        <f t="shared" si="304"/>
        <v>23</v>
      </c>
      <c r="V3265">
        <f t="shared" si="305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ROUND((E3266/D3266)*100, 0)</f>
        <v>103</v>
      </c>
      <c r="P3266" s="8">
        <f t="shared" ref="P3266:P3329" si="307">IFERROR(ROUND(E3266/L3266, 2), 0)</f>
        <v>52.55</v>
      </c>
      <c r="Q3266" s="10" t="s">
        <v>8315</v>
      </c>
      <c r="R3266" s="10" t="s">
        <v>8316</v>
      </c>
      <c r="S3266" s="16">
        <f t="shared" ref="S3266:S3329" si="308">(J3266/60/60/24)+DATE(1970, 1, 1)</f>
        <v>42016.800208333334</v>
      </c>
      <c r="T3266" s="16">
        <f t="shared" ref="T3266:T3329" si="309">(I3266/60/60/24)+DATE(1970, 1, 1)</f>
        <v>42032.916666666672</v>
      </c>
      <c r="U3266">
        <f t="shared" si="304"/>
        <v>16</v>
      </c>
      <c r="V3266">
        <f t="shared" si="305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 s="8">
        <f t="shared" si="307"/>
        <v>70.290000000000006</v>
      </c>
      <c r="Q3267" s="10" t="s">
        <v>8315</v>
      </c>
      <c r="R3267" s="10" t="s">
        <v>8316</v>
      </c>
      <c r="S3267" s="16">
        <f t="shared" si="308"/>
        <v>42311.711979166663</v>
      </c>
      <c r="T3267" s="16">
        <f t="shared" si="309"/>
        <v>42341.708333333328</v>
      </c>
      <c r="U3267">
        <f t="shared" ref="U3267:U3330" si="310">ROUND(T3267-S3267, 0)</f>
        <v>30</v>
      </c>
      <c r="V3267">
        <f t="shared" ref="V3267:V3330" si="311">YEAR($S3267)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 s="8">
        <f t="shared" si="307"/>
        <v>48.33</v>
      </c>
      <c r="Q3268" s="10" t="s">
        <v>8315</v>
      </c>
      <c r="R3268" s="10" t="s">
        <v>8316</v>
      </c>
      <c r="S3268" s="16">
        <f t="shared" si="308"/>
        <v>42136.536134259266</v>
      </c>
      <c r="T3268" s="16">
        <f t="shared" si="309"/>
        <v>42167.875</v>
      </c>
      <c r="U3268">
        <f t="shared" si="310"/>
        <v>31</v>
      </c>
      <c r="V3268">
        <f t="shared" si="311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 s="8">
        <f t="shared" si="307"/>
        <v>53.18</v>
      </c>
      <c r="Q3269" s="10" t="s">
        <v>8315</v>
      </c>
      <c r="R3269" s="10" t="s">
        <v>8316</v>
      </c>
      <c r="S3269" s="16">
        <f t="shared" si="308"/>
        <v>42172.757638888885</v>
      </c>
      <c r="T3269" s="16">
        <f t="shared" si="309"/>
        <v>42202.757638888885</v>
      </c>
      <c r="U3269">
        <f t="shared" si="310"/>
        <v>30</v>
      </c>
      <c r="V3269">
        <f t="shared" si="311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 s="8">
        <f t="shared" si="307"/>
        <v>60.95</v>
      </c>
      <c r="Q3270" s="10" t="s">
        <v>8315</v>
      </c>
      <c r="R3270" s="10" t="s">
        <v>8316</v>
      </c>
      <c r="S3270" s="16">
        <f t="shared" si="308"/>
        <v>42590.90425925926</v>
      </c>
      <c r="T3270" s="16">
        <f t="shared" si="309"/>
        <v>42606.90425925926</v>
      </c>
      <c r="U3270">
        <f t="shared" si="310"/>
        <v>16</v>
      </c>
      <c r="V3270">
        <f t="shared" si="311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 s="8">
        <f t="shared" si="307"/>
        <v>116</v>
      </c>
      <c r="Q3271" s="10" t="s">
        <v>8315</v>
      </c>
      <c r="R3271" s="10" t="s">
        <v>8316</v>
      </c>
      <c r="S3271" s="16">
        <f t="shared" si="308"/>
        <v>42137.395798611105</v>
      </c>
      <c r="T3271" s="16">
        <f t="shared" si="309"/>
        <v>42171.458333333328</v>
      </c>
      <c r="U3271">
        <f t="shared" si="310"/>
        <v>34</v>
      </c>
      <c r="V3271">
        <f t="shared" si="311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 s="8">
        <f t="shared" si="307"/>
        <v>61</v>
      </c>
      <c r="Q3272" s="10" t="s">
        <v>8315</v>
      </c>
      <c r="R3272" s="10" t="s">
        <v>8316</v>
      </c>
      <c r="S3272" s="16">
        <f t="shared" si="308"/>
        <v>42167.533159722225</v>
      </c>
      <c r="T3272" s="16">
        <f t="shared" si="309"/>
        <v>42197.533159722225</v>
      </c>
      <c r="U3272">
        <f t="shared" si="310"/>
        <v>30</v>
      </c>
      <c r="V3272">
        <f t="shared" si="311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 s="8">
        <f t="shared" si="307"/>
        <v>38.24</v>
      </c>
      <c r="Q3273" s="10" t="s">
        <v>8315</v>
      </c>
      <c r="R3273" s="10" t="s">
        <v>8316</v>
      </c>
      <c r="S3273" s="16">
        <f t="shared" si="308"/>
        <v>41915.437210648146</v>
      </c>
      <c r="T3273" s="16">
        <f t="shared" si="309"/>
        <v>41945.478877314818</v>
      </c>
      <c r="U3273">
        <f t="shared" si="310"/>
        <v>30</v>
      </c>
      <c r="V3273">
        <f t="shared" si="311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 s="8">
        <f t="shared" si="307"/>
        <v>106.5</v>
      </c>
      <c r="Q3274" s="10" t="s">
        <v>8315</v>
      </c>
      <c r="R3274" s="10" t="s">
        <v>8316</v>
      </c>
      <c r="S3274" s="16">
        <f t="shared" si="308"/>
        <v>42284.500104166669</v>
      </c>
      <c r="T3274" s="16">
        <f t="shared" si="309"/>
        <v>42314.541770833333</v>
      </c>
      <c r="U3274">
        <f t="shared" si="310"/>
        <v>30</v>
      </c>
      <c r="V3274">
        <f t="shared" si="311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 s="8">
        <f t="shared" si="307"/>
        <v>204.57</v>
      </c>
      <c r="Q3275" s="10" t="s">
        <v>8315</v>
      </c>
      <c r="R3275" s="10" t="s">
        <v>8316</v>
      </c>
      <c r="S3275" s="16">
        <f t="shared" si="308"/>
        <v>42611.801412037035</v>
      </c>
      <c r="T3275" s="16">
        <f t="shared" si="309"/>
        <v>42627.791666666672</v>
      </c>
      <c r="U3275">
        <f t="shared" si="310"/>
        <v>16</v>
      </c>
      <c r="V3275">
        <f t="shared" si="311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 s="8">
        <f t="shared" si="307"/>
        <v>54.91</v>
      </c>
      <c r="Q3276" s="10" t="s">
        <v>8315</v>
      </c>
      <c r="R3276" s="10" t="s">
        <v>8316</v>
      </c>
      <c r="S3276" s="16">
        <f t="shared" si="308"/>
        <v>42400.704537037032</v>
      </c>
      <c r="T3276" s="16">
        <f t="shared" si="309"/>
        <v>42444.875</v>
      </c>
      <c r="U3276">
        <f t="shared" si="310"/>
        <v>44</v>
      </c>
      <c r="V3276">
        <f t="shared" si="311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 s="8">
        <f t="shared" si="307"/>
        <v>150.41999999999999</v>
      </c>
      <c r="Q3277" s="10" t="s">
        <v>8315</v>
      </c>
      <c r="R3277" s="10" t="s">
        <v>8316</v>
      </c>
      <c r="S3277" s="16">
        <f t="shared" si="308"/>
        <v>42017.88045138889</v>
      </c>
      <c r="T3277" s="16">
        <f t="shared" si="309"/>
        <v>42044.1875</v>
      </c>
      <c r="U3277">
        <f t="shared" si="310"/>
        <v>26</v>
      </c>
      <c r="V3277">
        <f t="shared" si="311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 s="8">
        <f t="shared" si="307"/>
        <v>52.58</v>
      </c>
      <c r="Q3278" s="10" t="s">
        <v>8315</v>
      </c>
      <c r="R3278" s="10" t="s">
        <v>8316</v>
      </c>
      <c r="S3278" s="16">
        <f t="shared" si="308"/>
        <v>42426.949988425928</v>
      </c>
      <c r="T3278" s="16">
        <f t="shared" si="309"/>
        <v>42461.165972222225</v>
      </c>
      <c r="U3278">
        <f t="shared" si="310"/>
        <v>34</v>
      </c>
      <c r="V3278">
        <f t="shared" si="311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 s="8">
        <f t="shared" si="307"/>
        <v>54.3</v>
      </c>
      <c r="Q3279" s="10" t="s">
        <v>8315</v>
      </c>
      <c r="R3279" s="10" t="s">
        <v>8316</v>
      </c>
      <c r="S3279" s="16">
        <f t="shared" si="308"/>
        <v>41931.682939814818</v>
      </c>
      <c r="T3279" s="16">
        <f t="shared" si="309"/>
        <v>41961.724606481483</v>
      </c>
      <c r="U3279">
        <f t="shared" si="310"/>
        <v>30</v>
      </c>
      <c r="V3279">
        <f t="shared" si="311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 s="8">
        <f t="shared" si="307"/>
        <v>76.03</v>
      </c>
      <c r="Q3280" s="10" t="s">
        <v>8315</v>
      </c>
      <c r="R3280" s="10" t="s">
        <v>8316</v>
      </c>
      <c r="S3280" s="16">
        <f t="shared" si="308"/>
        <v>42124.848414351851</v>
      </c>
      <c r="T3280" s="16">
        <f t="shared" si="309"/>
        <v>42154.848414351851</v>
      </c>
      <c r="U3280">
        <f t="shared" si="310"/>
        <v>30</v>
      </c>
      <c r="V3280">
        <f t="shared" si="311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 s="8">
        <f t="shared" si="307"/>
        <v>105.21</v>
      </c>
      <c r="Q3281" s="10" t="s">
        <v>8315</v>
      </c>
      <c r="R3281" s="10" t="s">
        <v>8316</v>
      </c>
      <c r="S3281" s="16">
        <f t="shared" si="308"/>
        <v>42431.102534722217</v>
      </c>
      <c r="T3281" s="16">
        <f t="shared" si="309"/>
        <v>42461.06086805556</v>
      </c>
      <c r="U3281">
        <f t="shared" si="310"/>
        <v>30</v>
      </c>
      <c r="V3281">
        <f t="shared" si="311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 s="8">
        <f t="shared" si="307"/>
        <v>68.67</v>
      </c>
      <c r="Q3282" s="10" t="s">
        <v>8315</v>
      </c>
      <c r="R3282" s="10" t="s">
        <v>8316</v>
      </c>
      <c r="S3282" s="16">
        <f t="shared" si="308"/>
        <v>42121.756921296299</v>
      </c>
      <c r="T3282" s="16">
        <f t="shared" si="309"/>
        <v>42156.208333333328</v>
      </c>
      <c r="U3282">
        <f t="shared" si="310"/>
        <v>34</v>
      </c>
      <c r="V3282">
        <f t="shared" si="311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 s="8">
        <f t="shared" si="307"/>
        <v>129.36000000000001</v>
      </c>
      <c r="Q3283" s="10" t="s">
        <v>8315</v>
      </c>
      <c r="R3283" s="10" t="s">
        <v>8316</v>
      </c>
      <c r="S3283" s="16">
        <f t="shared" si="308"/>
        <v>42219.019733796296</v>
      </c>
      <c r="T3283" s="16">
        <f t="shared" si="309"/>
        <v>42249.019733796296</v>
      </c>
      <c r="U3283">
        <f t="shared" si="310"/>
        <v>30</v>
      </c>
      <c r="V3283">
        <f t="shared" si="311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 s="8">
        <f t="shared" si="307"/>
        <v>134.26</v>
      </c>
      <c r="Q3284" s="10" t="s">
        <v>8315</v>
      </c>
      <c r="R3284" s="10" t="s">
        <v>8316</v>
      </c>
      <c r="S3284" s="16">
        <f t="shared" si="308"/>
        <v>42445.19430555556</v>
      </c>
      <c r="T3284" s="16">
        <f t="shared" si="309"/>
        <v>42489.19430555556</v>
      </c>
      <c r="U3284">
        <f t="shared" si="310"/>
        <v>44</v>
      </c>
      <c r="V3284">
        <f t="shared" si="311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 s="8">
        <f t="shared" si="307"/>
        <v>17.829999999999998</v>
      </c>
      <c r="Q3285" s="10" t="s">
        <v>8315</v>
      </c>
      <c r="R3285" s="10" t="s">
        <v>8316</v>
      </c>
      <c r="S3285" s="16">
        <f t="shared" si="308"/>
        <v>42379.74418981481</v>
      </c>
      <c r="T3285" s="16">
        <f t="shared" si="309"/>
        <v>42410.875</v>
      </c>
      <c r="U3285">
        <f t="shared" si="310"/>
        <v>31</v>
      </c>
      <c r="V3285">
        <f t="shared" si="311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 s="8">
        <f t="shared" si="307"/>
        <v>203.2</v>
      </c>
      <c r="Q3286" s="10" t="s">
        <v>8315</v>
      </c>
      <c r="R3286" s="10" t="s">
        <v>8316</v>
      </c>
      <c r="S3286" s="16">
        <f t="shared" si="308"/>
        <v>42380.884872685187</v>
      </c>
      <c r="T3286" s="16">
        <f t="shared" si="309"/>
        <v>42398.249305555553</v>
      </c>
      <c r="U3286">
        <f t="shared" si="310"/>
        <v>17</v>
      </c>
      <c r="V3286">
        <f t="shared" si="311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 s="8">
        <f t="shared" si="307"/>
        <v>69.19</v>
      </c>
      <c r="Q3287" s="10" t="s">
        <v>8315</v>
      </c>
      <c r="R3287" s="10" t="s">
        <v>8316</v>
      </c>
      <c r="S3287" s="16">
        <f t="shared" si="308"/>
        <v>42762.942430555559</v>
      </c>
      <c r="T3287" s="16">
        <f t="shared" si="309"/>
        <v>42794.208333333328</v>
      </c>
      <c r="U3287">
        <f t="shared" si="310"/>
        <v>31</v>
      </c>
      <c r="V3287">
        <f t="shared" si="311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 s="8">
        <f t="shared" si="307"/>
        <v>125.12</v>
      </c>
      <c r="Q3288" s="10" t="s">
        <v>8315</v>
      </c>
      <c r="R3288" s="10" t="s">
        <v>8316</v>
      </c>
      <c r="S3288" s="16">
        <f t="shared" si="308"/>
        <v>42567.840069444443</v>
      </c>
      <c r="T3288" s="16">
        <f t="shared" si="309"/>
        <v>42597.840069444443</v>
      </c>
      <c r="U3288">
        <f t="shared" si="310"/>
        <v>30</v>
      </c>
      <c r="V3288">
        <f t="shared" si="311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 s="8">
        <f t="shared" si="307"/>
        <v>73.53</v>
      </c>
      <c r="Q3289" s="10" t="s">
        <v>8315</v>
      </c>
      <c r="R3289" s="10" t="s">
        <v>8316</v>
      </c>
      <c r="S3289" s="16">
        <f t="shared" si="308"/>
        <v>42311.750324074077</v>
      </c>
      <c r="T3289" s="16">
        <f t="shared" si="309"/>
        <v>42336.750324074077</v>
      </c>
      <c r="U3289">
        <f t="shared" si="310"/>
        <v>25</v>
      </c>
      <c r="V3289">
        <f t="shared" si="311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 s="8">
        <f t="shared" si="307"/>
        <v>48.44</v>
      </c>
      <c r="Q3290" s="10" t="s">
        <v>8315</v>
      </c>
      <c r="R3290" s="10" t="s">
        <v>8316</v>
      </c>
      <c r="S3290" s="16">
        <f t="shared" si="308"/>
        <v>42505.774479166663</v>
      </c>
      <c r="T3290" s="16">
        <f t="shared" si="309"/>
        <v>42541.958333333328</v>
      </c>
      <c r="U3290">
        <f t="shared" si="310"/>
        <v>36</v>
      </c>
      <c r="V3290">
        <f t="shared" si="311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 s="8">
        <f t="shared" si="307"/>
        <v>26.61</v>
      </c>
      <c r="Q3291" s="10" t="s">
        <v>8315</v>
      </c>
      <c r="R3291" s="10" t="s">
        <v>8316</v>
      </c>
      <c r="S3291" s="16">
        <f t="shared" si="308"/>
        <v>42758.368078703701</v>
      </c>
      <c r="T3291" s="16">
        <f t="shared" si="309"/>
        <v>42786.368078703701</v>
      </c>
      <c r="U3291">
        <f t="shared" si="310"/>
        <v>28</v>
      </c>
      <c r="V3291">
        <f t="shared" si="311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 s="8">
        <f t="shared" si="307"/>
        <v>33.67</v>
      </c>
      <c r="Q3292" s="10" t="s">
        <v>8315</v>
      </c>
      <c r="R3292" s="10" t="s">
        <v>8316</v>
      </c>
      <c r="S3292" s="16">
        <f t="shared" si="308"/>
        <v>42775.51494212963</v>
      </c>
      <c r="T3292" s="16">
        <f t="shared" si="309"/>
        <v>42805.51494212963</v>
      </c>
      <c r="U3292">
        <f t="shared" si="310"/>
        <v>30</v>
      </c>
      <c r="V3292">
        <f t="shared" si="311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 s="8">
        <f t="shared" si="307"/>
        <v>40.71</v>
      </c>
      <c r="Q3293" s="10" t="s">
        <v>8315</v>
      </c>
      <c r="R3293" s="10" t="s">
        <v>8316</v>
      </c>
      <c r="S3293" s="16">
        <f t="shared" si="308"/>
        <v>42232.702546296292</v>
      </c>
      <c r="T3293" s="16">
        <f t="shared" si="309"/>
        <v>42264.165972222225</v>
      </c>
      <c r="U3293">
        <f t="shared" si="310"/>
        <v>31</v>
      </c>
      <c r="V3293">
        <f t="shared" si="311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 s="8">
        <f t="shared" si="307"/>
        <v>19.27</v>
      </c>
      <c r="Q3294" s="10" t="s">
        <v>8315</v>
      </c>
      <c r="R3294" s="10" t="s">
        <v>8316</v>
      </c>
      <c r="S3294" s="16">
        <f t="shared" si="308"/>
        <v>42282.770231481481</v>
      </c>
      <c r="T3294" s="16">
        <f t="shared" si="309"/>
        <v>42342.811898148153</v>
      </c>
      <c r="U3294">
        <f t="shared" si="310"/>
        <v>60</v>
      </c>
      <c r="V3294">
        <f t="shared" si="311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 s="8">
        <f t="shared" si="307"/>
        <v>84.29</v>
      </c>
      <c r="Q3295" s="10" t="s">
        <v>8315</v>
      </c>
      <c r="R3295" s="10" t="s">
        <v>8316</v>
      </c>
      <c r="S3295" s="16">
        <f t="shared" si="308"/>
        <v>42768.425370370373</v>
      </c>
      <c r="T3295" s="16">
        <f t="shared" si="309"/>
        <v>42798.425370370373</v>
      </c>
      <c r="U3295">
        <f t="shared" si="310"/>
        <v>30</v>
      </c>
      <c r="V3295">
        <f t="shared" si="311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 s="8">
        <f t="shared" si="307"/>
        <v>29.58</v>
      </c>
      <c r="Q3296" s="10" t="s">
        <v>8315</v>
      </c>
      <c r="R3296" s="10" t="s">
        <v>8316</v>
      </c>
      <c r="S3296" s="16">
        <f t="shared" si="308"/>
        <v>42141.541134259256</v>
      </c>
      <c r="T3296" s="16">
        <f t="shared" si="309"/>
        <v>42171.541134259256</v>
      </c>
      <c r="U3296">
        <f t="shared" si="310"/>
        <v>30</v>
      </c>
      <c r="V3296">
        <f t="shared" si="311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 s="8">
        <f t="shared" si="307"/>
        <v>26.67</v>
      </c>
      <c r="Q3297" s="10" t="s">
        <v>8315</v>
      </c>
      <c r="R3297" s="10" t="s">
        <v>8316</v>
      </c>
      <c r="S3297" s="16">
        <f t="shared" si="308"/>
        <v>42609.442465277782</v>
      </c>
      <c r="T3297" s="16">
        <f t="shared" si="309"/>
        <v>42639.442465277782</v>
      </c>
      <c r="U3297">
        <f t="shared" si="310"/>
        <v>30</v>
      </c>
      <c r="V3297">
        <f t="shared" si="311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 s="8">
        <f t="shared" si="307"/>
        <v>45.98</v>
      </c>
      <c r="Q3298" s="10" t="s">
        <v>8315</v>
      </c>
      <c r="R3298" s="10" t="s">
        <v>8316</v>
      </c>
      <c r="S3298" s="16">
        <f t="shared" si="308"/>
        <v>42309.756620370375</v>
      </c>
      <c r="T3298" s="16">
        <f t="shared" si="309"/>
        <v>42330.916666666672</v>
      </c>
      <c r="U3298">
        <f t="shared" si="310"/>
        <v>21</v>
      </c>
      <c r="V3298">
        <f t="shared" si="311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 s="8">
        <f t="shared" si="307"/>
        <v>125.09</v>
      </c>
      <c r="Q3299" s="10" t="s">
        <v>8315</v>
      </c>
      <c r="R3299" s="10" t="s">
        <v>8316</v>
      </c>
      <c r="S3299" s="16">
        <f t="shared" si="308"/>
        <v>42193.771481481483</v>
      </c>
      <c r="T3299" s="16">
        <f t="shared" si="309"/>
        <v>42212.957638888889</v>
      </c>
      <c r="U3299">
        <f t="shared" si="310"/>
        <v>19</v>
      </c>
      <c r="V3299">
        <f t="shared" si="311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 s="8">
        <f t="shared" si="307"/>
        <v>141.29</v>
      </c>
      <c r="Q3300" s="10" t="s">
        <v>8315</v>
      </c>
      <c r="R3300" s="10" t="s">
        <v>8316</v>
      </c>
      <c r="S3300" s="16">
        <f t="shared" si="308"/>
        <v>42239.957962962959</v>
      </c>
      <c r="T3300" s="16">
        <f t="shared" si="309"/>
        <v>42260</v>
      </c>
      <c r="U3300">
        <f t="shared" si="310"/>
        <v>20</v>
      </c>
      <c r="V3300">
        <f t="shared" si="311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 s="8">
        <f t="shared" si="307"/>
        <v>55.33</v>
      </c>
      <c r="Q3301" s="10" t="s">
        <v>8315</v>
      </c>
      <c r="R3301" s="10" t="s">
        <v>8316</v>
      </c>
      <c r="S3301" s="16">
        <f t="shared" si="308"/>
        <v>42261.917395833334</v>
      </c>
      <c r="T3301" s="16">
        <f t="shared" si="309"/>
        <v>42291.917395833334</v>
      </c>
      <c r="U3301">
        <f t="shared" si="310"/>
        <v>30</v>
      </c>
      <c r="V3301">
        <f t="shared" si="311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 s="8">
        <f t="shared" si="307"/>
        <v>46.42</v>
      </c>
      <c r="Q3302" s="10" t="s">
        <v>8315</v>
      </c>
      <c r="R3302" s="10" t="s">
        <v>8316</v>
      </c>
      <c r="S3302" s="16">
        <f t="shared" si="308"/>
        <v>42102.743773148148</v>
      </c>
      <c r="T3302" s="16">
        <f t="shared" si="309"/>
        <v>42123.743773148148</v>
      </c>
      <c r="U3302">
        <f t="shared" si="310"/>
        <v>21</v>
      </c>
      <c r="V3302">
        <f t="shared" si="311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 s="8">
        <f t="shared" si="307"/>
        <v>57.2</v>
      </c>
      <c r="Q3303" s="10" t="s">
        <v>8315</v>
      </c>
      <c r="R3303" s="10" t="s">
        <v>8316</v>
      </c>
      <c r="S3303" s="16">
        <f t="shared" si="308"/>
        <v>42538.73583333334</v>
      </c>
      <c r="T3303" s="16">
        <f t="shared" si="309"/>
        <v>42583.290972222225</v>
      </c>
      <c r="U3303">
        <f t="shared" si="310"/>
        <v>45</v>
      </c>
      <c r="V3303">
        <f t="shared" si="311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 s="8">
        <f t="shared" si="307"/>
        <v>173.7</v>
      </c>
      <c r="Q3304" s="10" t="s">
        <v>8315</v>
      </c>
      <c r="R3304" s="10" t="s">
        <v>8316</v>
      </c>
      <c r="S3304" s="16">
        <f t="shared" si="308"/>
        <v>42681.35157407407</v>
      </c>
      <c r="T3304" s="16">
        <f t="shared" si="309"/>
        <v>42711.35157407407</v>
      </c>
      <c r="U3304">
        <f t="shared" si="310"/>
        <v>30</v>
      </c>
      <c r="V3304">
        <f t="shared" si="311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 s="8">
        <f t="shared" si="307"/>
        <v>59.6</v>
      </c>
      <c r="Q3305" s="10" t="s">
        <v>8315</v>
      </c>
      <c r="R3305" s="10" t="s">
        <v>8316</v>
      </c>
      <c r="S3305" s="16">
        <f t="shared" si="308"/>
        <v>42056.65143518518</v>
      </c>
      <c r="T3305" s="16">
        <f t="shared" si="309"/>
        <v>42091.609768518523</v>
      </c>
      <c r="U3305">
        <f t="shared" si="310"/>
        <v>35</v>
      </c>
      <c r="V3305">
        <f t="shared" si="311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 s="8">
        <f t="shared" si="307"/>
        <v>89.59</v>
      </c>
      <c r="Q3306" s="10" t="s">
        <v>8315</v>
      </c>
      <c r="R3306" s="10" t="s">
        <v>8316</v>
      </c>
      <c r="S3306" s="16">
        <f t="shared" si="308"/>
        <v>42696.624444444446</v>
      </c>
      <c r="T3306" s="16">
        <f t="shared" si="309"/>
        <v>42726.624444444446</v>
      </c>
      <c r="U3306">
        <f t="shared" si="310"/>
        <v>30</v>
      </c>
      <c r="V3306">
        <f t="shared" si="311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 s="8">
        <f t="shared" si="307"/>
        <v>204.05</v>
      </c>
      <c r="Q3307" s="10" t="s">
        <v>8315</v>
      </c>
      <c r="R3307" s="10" t="s">
        <v>8316</v>
      </c>
      <c r="S3307" s="16">
        <f t="shared" si="308"/>
        <v>42186.855879629627</v>
      </c>
      <c r="T3307" s="16">
        <f t="shared" si="309"/>
        <v>42216.855879629627</v>
      </c>
      <c r="U3307">
        <f t="shared" si="310"/>
        <v>30</v>
      </c>
      <c r="V3307">
        <f t="shared" si="311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 s="8">
        <f t="shared" si="307"/>
        <v>48.7</v>
      </c>
      <c r="Q3308" s="10" t="s">
        <v>8315</v>
      </c>
      <c r="R3308" s="10" t="s">
        <v>8316</v>
      </c>
      <c r="S3308" s="16">
        <f t="shared" si="308"/>
        <v>42493.219236111108</v>
      </c>
      <c r="T3308" s="16">
        <f t="shared" si="309"/>
        <v>42531.125</v>
      </c>
      <c r="U3308">
        <f t="shared" si="310"/>
        <v>38</v>
      </c>
      <c r="V3308">
        <f t="shared" si="311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 s="8">
        <f t="shared" si="307"/>
        <v>53.34</v>
      </c>
      <c r="Q3309" s="10" t="s">
        <v>8315</v>
      </c>
      <c r="R3309" s="10" t="s">
        <v>8316</v>
      </c>
      <c r="S3309" s="16">
        <f t="shared" si="308"/>
        <v>42475.057164351849</v>
      </c>
      <c r="T3309" s="16">
        <f t="shared" si="309"/>
        <v>42505.057164351849</v>
      </c>
      <c r="U3309">
        <f t="shared" si="310"/>
        <v>30</v>
      </c>
      <c r="V3309">
        <f t="shared" si="311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 s="8">
        <f t="shared" si="307"/>
        <v>75.09</v>
      </c>
      <c r="Q3310" s="10" t="s">
        <v>8315</v>
      </c>
      <c r="R3310" s="10" t="s">
        <v>8316</v>
      </c>
      <c r="S3310" s="16">
        <f t="shared" si="308"/>
        <v>42452.876909722225</v>
      </c>
      <c r="T3310" s="16">
        <f t="shared" si="309"/>
        <v>42473.876909722225</v>
      </c>
      <c r="U3310">
        <f t="shared" si="310"/>
        <v>21</v>
      </c>
      <c r="V3310">
        <f t="shared" si="311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 s="8">
        <f t="shared" si="307"/>
        <v>18</v>
      </c>
      <c r="Q3311" s="10" t="s">
        <v>8315</v>
      </c>
      <c r="R3311" s="10" t="s">
        <v>8316</v>
      </c>
      <c r="S3311" s="16">
        <f t="shared" si="308"/>
        <v>42628.650208333333</v>
      </c>
      <c r="T3311" s="16">
        <f t="shared" si="309"/>
        <v>42659.650208333333</v>
      </c>
      <c r="U3311">
        <f t="shared" si="310"/>
        <v>31</v>
      </c>
      <c r="V3311">
        <f t="shared" si="311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 s="8">
        <f t="shared" si="307"/>
        <v>209.84</v>
      </c>
      <c r="Q3312" s="10" t="s">
        <v>8315</v>
      </c>
      <c r="R3312" s="10" t="s">
        <v>8316</v>
      </c>
      <c r="S3312" s="16">
        <f t="shared" si="308"/>
        <v>42253.928530092591</v>
      </c>
      <c r="T3312" s="16">
        <f t="shared" si="309"/>
        <v>42283.928530092591</v>
      </c>
      <c r="U3312">
        <f t="shared" si="310"/>
        <v>30</v>
      </c>
      <c r="V3312">
        <f t="shared" si="311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 s="8">
        <f t="shared" si="307"/>
        <v>61.02</v>
      </c>
      <c r="Q3313" s="10" t="s">
        <v>8315</v>
      </c>
      <c r="R3313" s="10" t="s">
        <v>8316</v>
      </c>
      <c r="S3313" s="16">
        <f t="shared" si="308"/>
        <v>42264.29178240741</v>
      </c>
      <c r="T3313" s="16">
        <f t="shared" si="309"/>
        <v>42294.29178240741</v>
      </c>
      <c r="U3313">
        <f t="shared" si="310"/>
        <v>30</v>
      </c>
      <c r="V3313">
        <f t="shared" si="311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 s="8">
        <f t="shared" si="307"/>
        <v>61</v>
      </c>
      <c r="Q3314" s="10" t="s">
        <v>8315</v>
      </c>
      <c r="R3314" s="10" t="s">
        <v>8316</v>
      </c>
      <c r="S3314" s="16">
        <f t="shared" si="308"/>
        <v>42664.809560185182</v>
      </c>
      <c r="T3314" s="16">
        <f t="shared" si="309"/>
        <v>42685.916666666672</v>
      </c>
      <c r="U3314">
        <f t="shared" si="310"/>
        <v>21</v>
      </c>
      <c r="V3314">
        <f t="shared" si="311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 s="8">
        <f t="shared" si="307"/>
        <v>80.03</v>
      </c>
      <c r="Q3315" s="10" t="s">
        <v>8315</v>
      </c>
      <c r="R3315" s="10" t="s">
        <v>8316</v>
      </c>
      <c r="S3315" s="16">
        <f t="shared" si="308"/>
        <v>42382.244409722218</v>
      </c>
      <c r="T3315" s="16">
        <f t="shared" si="309"/>
        <v>42396.041666666672</v>
      </c>
      <c r="U3315">
        <f t="shared" si="310"/>
        <v>14</v>
      </c>
      <c r="V3315">
        <f t="shared" si="311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 s="8">
        <f t="shared" si="307"/>
        <v>29.07</v>
      </c>
      <c r="Q3316" s="10" t="s">
        <v>8315</v>
      </c>
      <c r="R3316" s="10" t="s">
        <v>8316</v>
      </c>
      <c r="S3316" s="16">
        <f t="shared" si="308"/>
        <v>42105.267488425925</v>
      </c>
      <c r="T3316" s="16">
        <f t="shared" si="309"/>
        <v>42132.836805555555</v>
      </c>
      <c r="U3316">
        <f t="shared" si="310"/>
        <v>28</v>
      </c>
      <c r="V3316">
        <f t="shared" si="311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 s="8">
        <f t="shared" si="307"/>
        <v>49.44</v>
      </c>
      <c r="Q3317" s="10" t="s">
        <v>8315</v>
      </c>
      <c r="R3317" s="10" t="s">
        <v>8316</v>
      </c>
      <c r="S3317" s="16">
        <f t="shared" si="308"/>
        <v>42466.303715277783</v>
      </c>
      <c r="T3317" s="16">
        <f t="shared" si="309"/>
        <v>42496.303715277783</v>
      </c>
      <c r="U3317">
        <f t="shared" si="310"/>
        <v>30</v>
      </c>
      <c r="V3317">
        <f t="shared" si="311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 s="8">
        <f t="shared" si="307"/>
        <v>93.98</v>
      </c>
      <c r="Q3318" s="10" t="s">
        <v>8315</v>
      </c>
      <c r="R3318" s="10" t="s">
        <v>8316</v>
      </c>
      <c r="S3318" s="16">
        <f t="shared" si="308"/>
        <v>41826.871238425927</v>
      </c>
      <c r="T3318" s="16">
        <f t="shared" si="309"/>
        <v>41859.57916666667</v>
      </c>
      <c r="U3318">
        <f t="shared" si="310"/>
        <v>33</v>
      </c>
      <c r="V3318">
        <f t="shared" si="311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 s="8">
        <f t="shared" si="307"/>
        <v>61.94</v>
      </c>
      <c r="Q3319" s="10" t="s">
        <v>8315</v>
      </c>
      <c r="R3319" s="10" t="s">
        <v>8316</v>
      </c>
      <c r="S3319" s="16">
        <f t="shared" si="308"/>
        <v>42499.039629629624</v>
      </c>
      <c r="T3319" s="16">
        <f t="shared" si="309"/>
        <v>42529.039629629624</v>
      </c>
      <c r="U3319">
        <f t="shared" si="310"/>
        <v>30</v>
      </c>
      <c r="V3319">
        <f t="shared" si="311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 s="8">
        <f t="shared" si="307"/>
        <v>78.5</v>
      </c>
      <c r="Q3320" s="10" t="s">
        <v>8315</v>
      </c>
      <c r="R3320" s="10" t="s">
        <v>8316</v>
      </c>
      <c r="S3320" s="16">
        <f t="shared" si="308"/>
        <v>42431.302002314813</v>
      </c>
      <c r="T3320" s="16">
        <f t="shared" si="309"/>
        <v>42471.104166666672</v>
      </c>
      <c r="U3320">
        <f t="shared" si="310"/>
        <v>40</v>
      </c>
      <c r="V3320">
        <f t="shared" si="311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 s="8">
        <f t="shared" si="307"/>
        <v>33.75</v>
      </c>
      <c r="Q3321" s="10" t="s">
        <v>8315</v>
      </c>
      <c r="R3321" s="10" t="s">
        <v>8316</v>
      </c>
      <c r="S3321" s="16">
        <f t="shared" si="308"/>
        <v>41990.585486111115</v>
      </c>
      <c r="T3321" s="16">
        <f t="shared" si="309"/>
        <v>42035.585486111115</v>
      </c>
      <c r="U3321">
        <f t="shared" si="310"/>
        <v>45</v>
      </c>
      <c r="V3321">
        <f t="shared" si="311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 s="8">
        <f t="shared" si="307"/>
        <v>66.45</v>
      </c>
      <c r="Q3322" s="10" t="s">
        <v>8315</v>
      </c>
      <c r="R3322" s="10" t="s">
        <v>8316</v>
      </c>
      <c r="S3322" s="16">
        <f t="shared" si="308"/>
        <v>42513.045798611114</v>
      </c>
      <c r="T3322" s="16">
        <f t="shared" si="309"/>
        <v>42543.045798611114</v>
      </c>
      <c r="U3322">
        <f t="shared" si="310"/>
        <v>30</v>
      </c>
      <c r="V3322">
        <f t="shared" si="311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 s="8">
        <f t="shared" si="307"/>
        <v>35.799999999999997</v>
      </c>
      <c r="Q3323" s="10" t="s">
        <v>8315</v>
      </c>
      <c r="R3323" s="10" t="s">
        <v>8316</v>
      </c>
      <c r="S3323" s="16">
        <f t="shared" si="308"/>
        <v>41914.100289351853</v>
      </c>
      <c r="T3323" s="16">
        <f t="shared" si="309"/>
        <v>41928.165972222225</v>
      </c>
      <c r="U3323">
        <f t="shared" si="310"/>
        <v>14</v>
      </c>
      <c r="V3323">
        <f t="shared" si="311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 s="8">
        <f t="shared" si="307"/>
        <v>145.65</v>
      </c>
      <c r="Q3324" s="10" t="s">
        <v>8315</v>
      </c>
      <c r="R3324" s="10" t="s">
        <v>8316</v>
      </c>
      <c r="S3324" s="16">
        <f t="shared" si="308"/>
        <v>42521.010370370372</v>
      </c>
      <c r="T3324" s="16">
        <f t="shared" si="309"/>
        <v>42543.163194444445</v>
      </c>
      <c r="U3324">
        <f t="shared" si="310"/>
        <v>22</v>
      </c>
      <c r="V3324">
        <f t="shared" si="311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 s="8">
        <f t="shared" si="307"/>
        <v>25.69</v>
      </c>
      <c r="Q3325" s="10" t="s">
        <v>8315</v>
      </c>
      <c r="R3325" s="10" t="s">
        <v>8316</v>
      </c>
      <c r="S3325" s="16">
        <f t="shared" si="308"/>
        <v>42608.36583333333</v>
      </c>
      <c r="T3325" s="16">
        <f t="shared" si="309"/>
        <v>42638.36583333333</v>
      </c>
      <c r="U3325">
        <f t="shared" si="310"/>
        <v>30</v>
      </c>
      <c r="V3325">
        <f t="shared" si="311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 s="8">
        <f t="shared" si="307"/>
        <v>152.5</v>
      </c>
      <c r="Q3326" s="10" t="s">
        <v>8315</v>
      </c>
      <c r="R3326" s="10" t="s">
        <v>8316</v>
      </c>
      <c r="S3326" s="16">
        <f t="shared" si="308"/>
        <v>42512.58321759259</v>
      </c>
      <c r="T3326" s="16">
        <f t="shared" si="309"/>
        <v>42526.58321759259</v>
      </c>
      <c r="U3326">
        <f t="shared" si="310"/>
        <v>14</v>
      </c>
      <c r="V3326">
        <f t="shared" si="311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 s="8">
        <f t="shared" si="307"/>
        <v>30</v>
      </c>
      <c r="Q3327" s="10" t="s">
        <v>8315</v>
      </c>
      <c r="R3327" s="10" t="s">
        <v>8316</v>
      </c>
      <c r="S3327" s="16">
        <f t="shared" si="308"/>
        <v>42064.785613425927</v>
      </c>
      <c r="T3327" s="16">
        <f t="shared" si="309"/>
        <v>42099.743946759263</v>
      </c>
      <c r="U3327">
        <f t="shared" si="310"/>
        <v>35</v>
      </c>
      <c r="V3327">
        <f t="shared" si="311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 s="8">
        <f t="shared" si="307"/>
        <v>142.28</v>
      </c>
      <c r="Q3328" s="10" t="s">
        <v>8315</v>
      </c>
      <c r="R3328" s="10" t="s">
        <v>8316</v>
      </c>
      <c r="S3328" s="16">
        <f t="shared" si="308"/>
        <v>42041.714178240742</v>
      </c>
      <c r="T3328" s="16">
        <f t="shared" si="309"/>
        <v>42071.67251157407</v>
      </c>
      <c r="U3328">
        <f t="shared" si="310"/>
        <v>30</v>
      </c>
      <c r="V3328">
        <f t="shared" si="311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 s="8">
        <f t="shared" si="307"/>
        <v>24.55</v>
      </c>
      <c r="Q3329" s="10" t="s">
        <v>8315</v>
      </c>
      <c r="R3329" s="10" t="s">
        <v>8316</v>
      </c>
      <c r="S3329" s="16">
        <f t="shared" si="308"/>
        <v>42468.374606481477</v>
      </c>
      <c r="T3329" s="16">
        <f t="shared" si="309"/>
        <v>42498.374606481477</v>
      </c>
      <c r="U3329">
        <f t="shared" si="310"/>
        <v>30</v>
      </c>
      <c r="V3329">
        <f t="shared" si="311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ROUND((E3330/D3330)*100, 0)</f>
        <v>146</v>
      </c>
      <c r="P3330" s="8">
        <f t="shared" ref="P3330:P3393" si="313">IFERROR(ROUND(E3330/L3330, 2), 0)</f>
        <v>292.77999999999997</v>
      </c>
      <c r="Q3330" s="10" t="s">
        <v>8315</v>
      </c>
      <c r="R3330" s="10" t="s">
        <v>8316</v>
      </c>
      <c r="S3330" s="16">
        <f t="shared" ref="S3330:S3393" si="314">(J3330/60/60/24)+DATE(1970, 1, 1)</f>
        <v>41822.57503472222</v>
      </c>
      <c r="T3330" s="16">
        <f t="shared" ref="T3330:T3393" si="315">(I3330/60/60/24)+DATE(1970, 1, 1)</f>
        <v>41825.041666666664</v>
      </c>
      <c r="U3330">
        <f t="shared" si="310"/>
        <v>2</v>
      </c>
      <c r="V3330">
        <f t="shared" si="311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 s="8">
        <f t="shared" si="313"/>
        <v>44.92</v>
      </c>
      <c r="Q3331" s="10" t="s">
        <v>8315</v>
      </c>
      <c r="R3331" s="10" t="s">
        <v>8316</v>
      </c>
      <c r="S3331" s="16">
        <f t="shared" si="314"/>
        <v>41837.323009259257</v>
      </c>
      <c r="T3331" s="16">
        <f t="shared" si="315"/>
        <v>41847.958333333336</v>
      </c>
      <c r="U3331">
        <f t="shared" ref="U3331:U3394" si="316">ROUND(T3331-S3331, 0)</f>
        <v>11</v>
      </c>
      <c r="V3331">
        <f t="shared" ref="V3331:V3394" si="317">YEAR($S3331)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 s="8">
        <f t="shared" si="313"/>
        <v>23.1</v>
      </c>
      <c r="Q3332" s="10" t="s">
        <v>8315</v>
      </c>
      <c r="R3332" s="10" t="s">
        <v>8316</v>
      </c>
      <c r="S3332" s="16">
        <f t="shared" si="314"/>
        <v>42065.887361111112</v>
      </c>
      <c r="T3332" s="16">
        <f t="shared" si="315"/>
        <v>42095.845694444448</v>
      </c>
      <c r="U3332">
        <f t="shared" si="316"/>
        <v>30</v>
      </c>
      <c r="V3332">
        <f t="shared" si="317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 s="8">
        <f t="shared" si="313"/>
        <v>80.400000000000006</v>
      </c>
      <c r="Q3333" s="10" t="s">
        <v>8315</v>
      </c>
      <c r="R3333" s="10" t="s">
        <v>8316</v>
      </c>
      <c r="S3333" s="16">
        <f t="shared" si="314"/>
        <v>42248.697754629626</v>
      </c>
      <c r="T3333" s="16">
        <f t="shared" si="315"/>
        <v>42283.697754629626</v>
      </c>
      <c r="U3333">
        <f t="shared" si="316"/>
        <v>35</v>
      </c>
      <c r="V3333">
        <f t="shared" si="317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 s="8">
        <f t="shared" si="313"/>
        <v>72.290000000000006</v>
      </c>
      <c r="Q3334" s="10" t="s">
        <v>8315</v>
      </c>
      <c r="R3334" s="10" t="s">
        <v>8316</v>
      </c>
      <c r="S3334" s="16">
        <f t="shared" si="314"/>
        <v>41809.860300925924</v>
      </c>
      <c r="T3334" s="16">
        <f t="shared" si="315"/>
        <v>41839.860300925924</v>
      </c>
      <c r="U3334">
        <f t="shared" si="316"/>
        <v>30</v>
      </c>
      <c r="V3334">
        <f t="shared" si="317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 s="8">
        <f t="shared" si="313"/>
        <v>32.97</v>
      </c>
      <c r="Q3335" s="10" t="s">
        <v>8315</v>
      </c>
      <c r="R3335" s="10" t="s">
        <v>8316</v>
      </c>
      <c r="S3335" s="16">
        <f t="shared" si="314"/>
        <v>42148.676851851851</v>
      </c>
      <c r="T3335" s="16">
        <f t="shared" si="315"/>
        <v>42170.676851851851</v>
      </c>
      <c r="U3335">
        <f t="shared" si="316"/>
        <v>22</v>
      </c>
      <c r="V3335">
        <f t="shared" si="317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 s="8">
        <f t="shared" si="313"/>
        <v>116.65</v>
      </c>
      <c r="Q3336" s="10" t="s">
        <v>8315</v>
      </c>
      <c r="R3336" s="10" t="s">
        <v>8316</v>
      </c>
      <c r="S3336" s="16">
        <f t="shared" si="314"/>
        <v>42185.521087962959</v>
      </c>
      <c r="T3336" s="16">
        <f t="shared" si="315"/>
        <v>42215.521087962959</v>
      </c>
      <c r="U3336">
        <f t="shared" si="316"/>
        <v>30</v>
      </c>
      <c r="V3336">
        <f t="shared" si="317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 s="8">
        <f t="shared" si="313"/>
        <v>79.62</v>
      </c>
      <c r="Q3337" s="10" t="s">
        <v>8315</v>
      </c>
      <c r="R3337" s="10" t="s">
        <v>8316</v>
      </c>
      <c r="S3337" s="16">
        <f t="shared" si="314"/>
        <v>41827.674143518518</v>
      </c>
      <c r="T3337" s="16">
        <f t="shared" si="315"/>
        <v>41854.958333333336</v>
      </c>
      <c r="U3337">
        <f t="shared" si="316"/>
        <v>27</v>
      </c>
      <c r="V3337">
        <f t="shared" si="317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 s="8">
        <f t="shared" si="313"/>
        <v>27.78</v>
      </c>
      <c r="Q3338" s="10" t="s">
        <v>8315</v>
      </c>
      <c r="R3338" s="10" t="s">
        <v>8316</v>
      </c>
      <c r="S3338" s="16">
        <f t="shared" si="314"/>
        <v>42437.398680555561</v>
      </c>
      <c r="T3338" s="16">
        <f t="shared" si="315"/>
        <v>42465.35701388889</v>
      </c>
      <c r="U3338">
        <f t="shared" si="316"/>
        <v>28</v>
      </c>
      <c r="V3338">
        <f t="shared" si="317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 s="8">
        <f t="shared" si="313"/>
        <v>81.03</v>
      </c>
      <c r="Q3339" s="10" t="s">
        <v>8315</v>
      </c>
      <c r="R3339" s="10" t="s">
        <v>8316</v>
      </c>
      <c r="S3339" s="16">
        <f t="shared" si="314"/>
        <v>41901.282025462962</v>
      </c>
      <c r="T3339" s="16">
        <f t="shared" si="315"/>
        <v>41922.875</v>
      </c>
      <c r="U3339">
        <f t="shared" si="316"/>
        <v>22</v>
      </c>
      <c r="V3339">
        <f t="shared" si="317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 s="8">
        <f t="shared" si="313"/>
        <v>136.85</v>
      </c>
      <c r="Q3340" s="10" t="s">
        <v>8315</v>
      </c>
      <c r="R3340" s="10" t="s">
        <v>8316</v>
      </c>
      <c r="S3340" s="16">
        <f t="shared" si="314"/>
        <v>42769.574999999997</v>
      </c>
      <c r="T3340" s="16">
        <f t="shared" si="315"/>
        <v>42790.574999999997</v>
      </c>
      <c r="U3340">
        <f t="shared" si="316"/>
        <v>21</v>
      </c>
      <c r="V3340">
        <f t="shared" si="317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 s="8">
        <f t="shared" si="313"/>
        <v>177.62</v>
      </c>
      <c r="Q3341" s="10" t="s">
        <v>8315</v>
      </c>
      <c r="R3341" s="10" t="s">
        <v>8316</v>
      </c>
      <c r="S3341" s="16">
        <f t="shared" si="314"/>
        <v>42549.665717592594</v>
      </c>
      <c r="T3341" s="16">
        <f t="shared" si="315"/>
        <v>42579.665717592594</v>
      </c>
      <c r="U3341">
        <f t="shared" si="316"/>
        <v>30</v>
      </c>
      <c r="V3341">
        <f t="shared" si="317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 s="8">
        <f t="shared" si="313"/>
        <v>109.08</v>
      </c>
      <c r="Q3342" s="10" t="s">
        <v>8315</v>
      </c>
      <c r="R3342" s="10" t="s">
        <v>8316</v>
      </c>
      <c r="S3342" s="16">
        <f t="shared" si="314"/>
        <v>42685.974004629628</v>
      </c>
      <c r="T3342" s="16">
        <f t="shared" si="315"/>
        <v>42710.974004629628</v>
      </c>
      <c r="U3342">
        <f t="shared" si="316"/>
        <v>25</v>
      </c>
      <c r="V3342">
        <f t="shared" si="317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 s="8">
        <f t="shared" si="313"/>
        <v>119.64</v>
      </c>
      <c r="Q3343" s="10" t="s">
        <v>8315</v>
      </c>
      <c r="R3343" s="10" t="s">
        <v>8316</v>
      </c>
      <c r="S3343" s="16">
        <f t="shared" si="314"/>
        <v>42510.798854166671</v>
      </c>
      <c r="T3343" s="16">
        <f t="shared" si="315"/>
        <v>42533.708333333328</v>
      </c>
      <c r="U3343">
        <f t="shared" si="316"/>
        <v>23</v>
      </c>
      <c r="V3343">
        <f t="shared" si="317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 s="8">
        <f t="shared" si="313"/>
        <v>78.209999999999994</v>
      </c>
      <c r="Q3344" s="10" t="s">
        <v>8315</v>
      </c>
      <c r="R3344" s="10" t="s">
        <v>8316</v>
      </c>
      <c r="S3344" s="16">
        <f t="shared" si="314"/>
        <v>42062.296412037031</v>
      </c>
      <c r="T3344" s="16">
        <f t="shared" si="315"/>
        <v>42095.207638888889</v>
      </c>
      <c r="U3344">
        <f t="shared" si="316"/>
        <v>33</v>
      </c>
      <c r="V3344">
        <f t="shared" si="317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 s="8">
        <f t="shared" si="313"/>
        <v>52.17</v>
      </c>
      <c r="Q3345" s="10" t="s">
        <v>8315</v>
      </c>
      <c r="R3345" s="10" t="s">
        <v>8316</v>
      </c>
      <c r="S3345" s="16">
        <f t="shared" si="314"/>
        <v>42452.916481481487</v>
      </c>
      <c r="T3345" s="16">
        <f t="shared" si="315"/>
        <v>42473.554166666669</v>
      </c>
      <c r="U3345">
        <f t="shared" si="316"/>
        <v>21</v>
      </c>
      <c r="V3345">
        <f t="shared" si="317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 s="8">
        <f t="shared" si="313"/>
        <v>114.13</v>
      </c>
      <c r="Q3346" s="10" t="s">
        <v>8315</v>
      </c>
      <c r="R3346" s="10" t="s">
        <v>8316</v>
      </c>
      <c r="S3346" s="16">
        <f t="shared" si="314"/>
        <v>41851.200150462959</v>
      </c>
      <c r="T3346" s="16">
        <f t="shared" si="315"/>
        <v>41881.200150462959</v>
      </c>
      <c r="U3346">
        <f t="shared" si="316"/>
        <v>30</v>
      </c>
      <c r="V3346">
        <f t="shared" si="317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 s="8">
        <f t="shared" si="313"/>
        <v>50</v>
      </c>
      <c r="Q3347" s="10" t="s">
        <v>8315</v>
      </c>
      <c r="R3347" s="10" t="s">
        <v>8316</v>
      </c>
      <c r="S3347" s="16">
        <f t="shared" si="314"/>
        <v>42053.106111111112</v>
      </c>
      <c r="T3347" s="16">
        <f t="shared" si="315"/>
        <v>42112.025694444441</v>
      </c>
      <c r="U3347">
        <f t="shared" si="316"/>
        <v>59</v>
      </c>
      <c r="V3347">
        <f t="shared" si="317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 s="8">
        <f t="shared" si="313"/>
        <v>91.67</v>
      </c>
      <c r="Q3348" s="10" t="s">
        <v>8315</v>
      </c>
      <c r="R3348" s="10" t="s">
        <v>8316</v>
      </c>
      <c r="S3348" s="16">
        <f t="shared" si="314"/>
        <v>42054.024421296301</v>
      </c>
      <c r="T3348" s="16">
        <f t="shared" si="315"/>
        <v>42061.024421296301</v>
      </c>
      <c r="U3348">
        <f t="shared" si="316"/>
        <v>7</v>
      </c>
      <c r="V3348">
        <f t="shared" si="317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 s="8">
        <f t="shared" si="313"/>
        <v>108.59</v>
      </c>
      <c r="Q3349" s="10" t="s">
        <v>8315</v>
      </c>
      <c r="R3349" s="10" t="s">
        <v>8316</v>
      </c>
      <c r="S3349" s="16">
        <f t="shared" si="314"/>
        <v>42484.551550925928</v>
      </c>
      <c r="T3349" s="16">
        <f t="shared" si="315"/>
        <v>42498.875</v>
      </c>
      <c r="U3349">
        <f t="shared" si="316"/>
        <v>14</v>
      </c>
      <c r="V3349">
        <f t="shared" si="317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 s="8">
        <f t="shared" si="313"/>
        <v>69.819999999999993</v>
      </c>
      <c r="Q3350" s="10" t="s">
        <v>8315</v>
      </c>
      <c r="R3350" s="10" t="s">
        <v>8316</v>
      </c>
      <c r="S3350" s="16">
        <f t="shared" si="314"/>
        <v>42466.558796296296</v>
      </c>
      <c r="T3350" s="16">
        <f t="shared" si="315"/>
        <v>42490.165972222225</v>
      </c>
      <c r="U3350">
        <f t="shared" si="316"/>
        <v>24</v>
      </c>
      <c r="V3350">
        <f t="shared" si="317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 s="8">
        <f t="shared" si="313"/>
        <v>109.57</v>
      </c>
      <c r="Q3351" s="10" t="s">
        <v>8315</v>
      </c>
      <c r="R3351" s="10" t="s">
        <v>8316</v>
      </c>
      <c r="S3351" s="16">
        <f t="shared" si="314"/>
        <v>42513.110787037032</v>
      </c>
      <c r="T3351" s="16">
        <f t="shared" si="315"/>
        <v>42534.708333333328</v>
      </c>
      <c r="U3351">
        <f t="shared" si="316"/>
        <v>22</v>
      </c>
      <c r="V3351">
        <f t="shared" si="317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 s="8">
        <f t="shared" si="313"/>
        <v>71.67</v>
      </c>
      <c r="Q3352" s="10" t="s">
        <v>8315</v>
      </c>
      <c r="R3352" s="10" t="s">
        <v>8316</v>
      </c>
      <c r="S3352" s="16">
        <f t="shared" si="314"/>
        <v>42302.701516203699</v>
      </c>
      <c r="T3352" s="16">
        <f t="shared" si="315"/>
        <v>42337.958333333328</v>
      </c>
      <c r="U3352">
        <f t="shared" si="316"/>
        <v>35</v>
      </c>
      <c r="V3352">
        <f t="shared" si="317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 s="8">
        <f t="shared" si="313"/>
        <v>93.61</v>
      </c>
      <c r="Q3353" s="10" t="s">
        <v>8315</v>
      </c>
      <c r="R3353" s="10" t="s">
        <v>8316</v>
      </c>
      <c r="S3353" s="16">
        <f t="shared" si="314"/>
        <v>41806.395428240743</v>
      </c>
      <c r="T3353" s="16">
        <f t="shared" si="315"/>
        <v>41843.458333333336</v>
      </c>
      <c r="U3353">
        <f t="shared" si="316"/>
        <v>37</v>
      </c>
      <c r="V3353">
        <f t="shared" si="317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 s="8">
        <f t="shared" si="313"/>
        <v>76.8</v>
      </c>
      <c r="Q3354" s="10" t="s">
        <v>8315</v>
      </c>
      <c r="R3354" s="10" t="s">
        <v>8316</v>
      </c>
      <c r="S3354" s="16">
        <f t="shared" si="314"/>
        <v>42495.992800925931</v>
      </c>
      <c r="T3354" s="16">
        <f t="shared" si="315"/>
        <v>42552.958333333328</v>
      </c>
      <c r="U3354">
        <f t="shared" si="316"/>
        <v>57</v>
      </c>
      <c r="V3354">
        <f t="shared" si="317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 s="8">
        <f t="shared" si="313"/>
        <v>35.799999999999997</v>
      </c>
      <c r="Q3355" s="10" t="s">
        <v>8315</v>
      </c>
      <c r="R3355" s="10" t="s">
        <v>8316</v>
      </c>
      <c r="S3355" s="16">
        <f t="shared" si="314"/>
        <v>42479.432291666672</v>
      </c>
      <c r="T3355" s="16">
        <f t="shared" si="315"/>
        <v>42492.958333333328</v>
      </c>
      <c r="U3355">
        <f t="shared" si="316"/>
        <v>14</v>
      </c>
      <c r="V3355">
        <f t="shared" si="317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 s="8">
        <f t="shared" si="313"/>
        <v>55.6</v>
      </c>
      <c r="Q3356" s="10" t="s">
        <v>8315</v>
      </c>
      <c r="R3356" s="10" t="s">
        <v>8316</v>
      </c>
      <c r="S3356" s="16">
        <f t="shared" si="314"/>
        <v>42270.7269212963</v>
      </c>
      <c r="T3356" s="16">
        <f t="shared" si="315"/>
        <v>42306.167361111111</v>
      </c>
      <c r="U3356">
        <f t="shared" si="316"/>
        <v>35</v>
      </c>
      <c r="V3356">
        <f t="shared" si="317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 s="8">
        <f t="shared" si="313"/>
        <v>147.33000000000001</v>
      </c>
      <c r="Q3357" s="10" t="s">
        <v>8315</v>
      </c>
      <c r="R3357" s="10" t="s">
        <v>8316</v>
      </c>
      <c r="S3357" s="16">
        <f t="shared" si="314"/>
        <v>42489.619525462964</v>
      </c>
      <c r="T3357" s="16">
        <f t="shared" si="315"/>
        <v>42500.470138888893</v>
      </c>
      <c r="U3357">
        <f t="shared" si="316"/>
        <v>11</v>
      </c>
      <c r="V3357">
        <f t="shared" si="317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 s="8">
        <f t="shared" si="313"/>
        <v>56.33</v>
      </c>
      <c r="Q3358" s="10" t="s">
        <v>8315</v>
      </c>
      <c r="R3358" s="10" t="s">
        <v>8316</v>
      </c>
      <c r="S3358" s="16">
        <f t="shared" si="314"/>
        <v>42536.815648148149</v>
      </c>
      <c r="T3358" s="16">
        <f t="shared" si="315"/>
        <v>42566.815648148149</v>
      </c>
      <c r="U3358">
        <f t="shared" si="316"/>
        <v>30</v>
      </c>
      <c r="V3358">
        <f t="shared" si="317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 s="8">
        <f t="shared" si="313"/>
        <v>96.19</v>
      </c>
      <c r="Q3359" s="10" t="s">
        <v>8315</v>
      </c>
      <c r="R3359" s="10" t="s">
        <v>8316</v>
      </c>
      <c r="S3359" s="16">
        <f t="shared" si="314"/>
        <v>41822.417939814812</v>
      </c>
      <c r="T3359" s="16">
        <f t="shared" si="315"/>
        <v>41852.417939814812</v>
      </c>
      <c r="U3359">
        <f t="shared" si="316"/>
        <v>30</v>
      </c>
      <c r="V3359">
        <f t="shared" si="317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 s="8">
        <f t="shared" si="313"/>
        <v>63.57</v>
      </c>
      <c r="Q3360" s="10" t="s">
        <v>8315</v>
      </c>
      <c r="R3360" s="10" t="s">
        <v>8316</v>
      </c>
      <c r="S3360" s="16">
        <f t="shared" si="314"/>
        <v>41932.311099537037</v>
      </c>
      <c r="T3360" s="16">
        <f t="shared" si="315"/>
        <v>41962.352766203709</v>
      </c>
      <c r="U3360">
        <f t="shared" si="316"/>
        <v>30</v>
      </c>
      <c r="V3360">
        <f t="shared" si="317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 s="8">
        <f t="shared" si="313"/>
        <v>184.78</v>
      </c>
      <c r="Q3361" s="10" t="s">
        <v>8315</v>
      </c>
      <c r="R3361" s="10" t="s">
        <v>8316</v>
      </c>
      <c r="S3361" s="16">
        <f t="shared" si="314"/>
        <v>42746.057106481487</v>
      </c>
      <c r="T3361" s="16">
        <f t="shared" si="315"/>
        <v>42791.057106481487</v>
      </c>
      <c r="U3361">
        <f t="shared" si="316"/>
        <v>45</v>
      </c>
      <c r="V3361">
        <f t="shared" si="317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 s="8">
        <f t="shared" si="313"/>
        <v>126.72</v>
      </c>
      <c r="Q3362" s="10" t="s">
        <v>8315</v>
      </c>
      <c r="R3362" s="10" t="s">
        <v>8316</v>
      </c>
      <c r="S3362" s="16">
        <f t="shared" si="314"/>
        <v>42697.082673611112</v>
      </c>
      <c r="T3362" s="16">
        <f t="shared" si="315"/>
        <v>42718.665972222225</v>
      </c>
      <c r="U3362">
        <f t="shared" si="316"/>
        <v>22</v>
      </c>
      <c r="V3362">
        <f t="shared" si="317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 s="8">
        <f t="shared" si="313"/>
        <v>83.43</v>
      </c>
      <c r="Q3363" s="10" t="s">
        <v>8315</v>
      </c>
      <c r="R3363" s="10" t="s">
        <v>8316</v>
      </c>
      <c r="S3363" s="16">
        <f t="shared" si="314"/>
        <v>41866.025347222225</v>
      </c>
      <c r="T3363" s="16">
        <f t="shared" si="315"/>
        <v>41883.665972222225</v>
      </c>
      <c r="U3363">
        <f t="shared" si="316"/>
        <v>18</v>
      </c>
      <c r="V3363">
        <f t="shared" si="317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 s="8">
        <f t="shared" si="313"/>
        <v>54.5</v>
      </c>
      <c r="Q3364" s="10" t="s">
        <v>8315</v>
      </c>
      <c r="R3364" s="10" t="s">
        <v>8316</v>
      </c>
      <c r="S3364" s="16">
        <f t="shared" si="314"/>
        <v>42056.091631944444</v>
      </c>
      <c r="T3364" s="16">
        <f t="shared" si="315"/>
        <v>42070.204861111109</v>
      </c>
      <c r="U3364">
        <f t="shared" si="316"/>
        <v>14</v>
      </c>
      <c r="V3364">
        <f t="shared" si="317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 s="8">
        <f t="shared" si="313"/>
        <v>302.31</v>
      </c>
      <c r="Q3365" s="10" t="s">
        <v>8315</v>
      </c>
      <c r="R3365" s="10" t="s">
        <v>8316</v>
      </c>
      <c r="S3365" s="16">
        <f t="shared" si="314"/>
        <v>41851.771354166667</v>
      </c>
      <c r="T3365" s="16">
        <f t="shared" si="315"/>
        <v>41870.666666666664</v>
      </c>
      <c r="U3365">
        <f t="shared" si="316"/>
        <v>19</v>
      </c>
      <c r="V3365">
        <f t="shared" si="317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 s="8">
        <f t="shared" si="313"/>
        <v>44.14</v>
      </c>
      <c r="Q3366" s="10" t="s">
        <v>8315</v>
      </c>
      <c r="R3366" s="10" t="s">
        <v>8316</v>
      </c>
      <c r="S3366" s="16">
        <f t="shared" si="314"/>
        <v>42422.977418981478</v>
      </c>
      <c r="T3366" s="16">
        <f t="shared" si="315"/>
        <v>42444.875</v>
      </c>
      <c r="U3366">
        <f t="shared" si="316"/>
        <v>22</v>
      </c>
      <c r="V3366">
        <f t="shared" si="317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 s="8">
        <f t="shared" si="313"/>
        <v>866.67</v>
      </c>
      <c r="Q3367" s="10" t="s">
        <v>8315</v>
      </c>
      <c r="R3367" s="10" t="s">
        <v>8316</v>
      </c>
      <c r="S3367" s="16">
        <f t="shared" si="314"/>
        <v>42321.101759259262</v>
      </c>
      <c r="T3367" s="16">
        <f t="shared" si="315"/>
        <v>42351.101759259262</v>
      </c>
      <c r="U3367">
        <f t="shared" si="316"/>
        <v>30</v>
      </c>
      <c r="V3367">
        <f t="shared" si="317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 s="8">
        <f t="shared" si="313"/>
        <v>61.39</v>
      </c>
      <c r="Q3368" s="10" t="s">
        <v>8315</v>
      </c>
      <c r="R3368" s="10" t="s">
        <v>8316</v>
      </c>
      <c r="S3368" s="16">
        <f t="shared" si="314"/>
        <v>42107.067557870367</v>
      </c>
      <c r="T3368" s="16">
        <f t="shared" si="315"/>
        <v>42137.067557870367</v>
      </c>
      <c r="U3368">
        <f t="shared" si="316"/>
        <v>30</v>
      </c>
      <c r="V3368">
        <f t="shared" si="317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 s="8">
        <f t="shared" si="313"/>
        <v>29.67</v>
      </c>
      <c r="Q3369" s="10" t="s">
        <v>8315</v>
      </c>
      <c r="R3369" s="10" t="s">
        <v>8316</v>
      </c>
      <c r="S3369" s="16">
        <f t="shared" si="314"/>
        <v>42192.933958333335</v>
      </c>
      <c r="T3369" s="16">
        <f t="shared" si="315"/>
        <v>42217.933958333335</v>
      </c>
      <c r="U3369">
        <f t="shared" si="316"/>
        <v>25</v>
      </c>
      <c r="V3369">
        <f t="shared" si="317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 s="8">
        <f t="shared" si="313"/>
        <v>45.48</v>
      </c>
      <c r="Q3370" s="10" t="s">
        <v>8315</v>
      </c>
      <c r="R3370" s="10" t="s">
        <v>8316</v>
      </c>
      <c r="S3370" s="16">
        <f t="shared" si="314"/>
        <v>41969.199756944443</v>
      </c>
      <c r="T3370" s="16">
        <f t="shared" si="315"/>
        <v>42005.208333333328</v>
      </c>
      <c r="U3370">
        <f t="shared" si="316"/>
        <v>36</v>
      </c>
      <c r="V3370">
        <f t="shared" si="317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 s="8">
        <f t="shared" si="313"/>
        <v>96.2</v>
      </c>
      <c r="Q3371" s="10" t="s">
        <v>8315</v>
      </c>
      <c r="R3371" s="10" t="s">
        <v>8316</v>
      </c>
      <c r="S3371" s="16">
        <f t="shared" si="314"/>
        <v>42690.041435185187</v>
      </c>
      <c r="T3371" s="16">
        <f t="shared" si="315"/>
        <v>42750.041435185187</v>
      </c>
      <c r="U3371">
        <f t="shared" si="316"/>
        <v>60</v>
      </c>
      <c r="V3371">
        <f t="shared" si="317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 s="8">
        <f t="shared" si="313"/>
        <v>67.92</v>
      </c>
      <c r="Q3372" s="10" t="s">
        <v>8315</v>
      </c>
      <c r="R3372" s="10" t="s">
        <v>8316</v>
      </c>
      <c r="S3372" s="16">
        <f t="shared" si="314"/>
        <v>42690.334317129629</v>
      </c>
      <c r="T3372" s="16">
        <f t="shared" si="315"/>
        <v>42721.333333333328</v>
      </c>
      <c r="U3372">
        <f t="shared" si="316"/>
        <v>31</v>
      </c>
      <c r="V3372">
        <f t="shared" si="317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 s="8">
        <f t="shared" si="313"/>
        <v>30.78</v>
      </c>
      <c r="Q3373" s="10" t="s">
        <v>8315</v>
      </c>
      <c r="R3373" s="10" t="s">
        <v>8316</v>
      </c>
      <c r="S3373" s="16">
        <f t="shared" si="314"/>
        <v>42312.874594907407</v>
      </c>
      <c r="T3373" s="16">
        <f t="shared" si="315"/>
        <v>42340.874594907407</v>
      </c>
      <c r="U3373">
        <f t="shared" si="316"/>
        <v>28</v>
      </c>
      <c r="V3373">
        <f t="shared" si="317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 s="8">
        <f t="shared" si="313"/>
        <v>38.33</v>
      </c>
      <c r="Q3374" s="10" t="s">
        <v>8315</v>
      </c>
      <c r="R3374" s="10" t="s">
        <v>8316</v>
      </c>
      <c r="S3374" s="16">
        <f t="shared" si="314"/>
        <v>41855.548101851848</v>
      </c>
      <c r="T3374" s="16">
        <f t="shared" si="315"/>
        <v>41876.207638888889</v>
      </c>
      <c r="U3374">
        <f t="shared" si="316"/>
        <v>21</v>
      </c>
      <c r="V3374">
        <f t="shared" si="317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 s="8">
        <f t="shared" si="313"/>
        <v>66.83</v>
      </c>
      <c r="Q3375" s="10" t="s">
        <v>8315</v>
      </c>
      <c r="R3375" s="10" t="s">
        <v>8316</v>
      </c>
      <c r="S3375" s="16">
        <f t="shared" si="314"/>
        <v>42179.854629629626</v>
      </c>
      <c r="T3375" s="16">
        <f t="shared" si="315"/>
        <v>42203.666666666672</v>
      </c>
      <c r="U3375">
        <f t="shared" si="316"/>
        <v>24</v>
      </c>
      <c r="V3375">
        <f t="shared" si="317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 s="8">
        <f t="shared" si="313"/>
        <v>71.73</v>
      </c>
      <c r="Q3376" s="10" t="s">
        <v>8315</v>
      </c>
      <c r="R3376" s="10" t="s">
        <v>8316</v>
      </c>
      <c r="S3376" s="16">
        <f t="shared" si="314"/>
        <v>42275.731666666667</v>
      </c>
      <c r="T3376" s="16">
        <f t="shared" si="315"/>
        <v>42305.731666666667</v>
      </c>
      <c r="U3376">
        <f t="shared" si="316"/>
        <v>30</v>
      </c>
      <c r="V3376">
        <f t="shared" si="317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 s="8">
        <f t="shared" si="313"/>
        <v>176.47</v>
      </c>
      <c r="Q3377" s="10" t="s">
        <v>8315</v>
      </c>
      <c r="R3377" s="10" t="s">
        <v>8316</v>
      </c>
      <c r="S3377" s="16">
        <f t="shared" si="314"/>
        <v>41765.610798611109</v>
      </c>
      <c r="T3377" s="16">
        <f t="shared" si="315"/>
        <v>41777.610798611109</v>
      </c>
      <c r="U3377">
        <f t="shared" si="316"/>
        <v>12</v>
      </c>
      <c r="V3377">
        <f t="shared" si="317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 s="8">
        <f t="shared" si="313"/>
        <v>421.11</v>
      </c>
      <c r="Q3378" s="10" t="s">
        <v>8315</v>
      </c>
      <c r="R3378" s="10" t="s">
        <v>8316</v>
      </c>
      <c r="S3378" s="16">
        <f t="shared" si="314"/>
        <v>42059.701319444444</v>
      </c>
      <c r="T3378" s="16">
        <f t="shared" si="315"/>
        <v>42119.659652777773</v>
      </c>
      <c r="U3378">
        <f t="shared" si="316"/>
        <v>60</v>
      </c>
      <c r="V3378">
        <f t="shared" si="317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 s="8">
        <f t="shared" si="313"/>
        <v>104.99</v>
      </c>
      <c r="Q3379" s="10" t="s">
        <v>8315</v>
      </c>
      <c r="R3379" s="10" t="s">
        <v>8316</v>
      </c>
      <c r="S3379" s="16">
        <f t="shared" si="314"/>
        <v>42053.732627314821</v>
      </c>
      <c r="T3379" s="16">
        <f t="shared" si="315"/>
        <v>42083.705555555556</v>
      </c>
      <c r="U3379">
        <f t="shared" si="316"/>
        <v>30</v>
      </c>
      <c r="V3379">
        <f t="shared" si="317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 s="8">
        <f t="shared" si="313"/>
        <v>28.19</v>
      </c>
      <c r="Q3380" s="10" t="s">
        <v>8315</v>
      </c>
      <c r="R3380" s="10" t="s">
        <v>8316</v>
      </c>
      <c r="S3380" s="16">
        <f t="shared" si="314"/>
        <v>41858.355393518519</v>
      </c>
      <c r="T3380" s="16">
        <f t="shared" si="315"/>
        <v>41882.547222222223</v>
      </c>
      <c r="U3380">
        <f t="shared" si="316"/>
        <v>24</v>
      </c>
      <c r="V3380">
        <f t="shared" si="317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 s="8">
        <f t="shared" si="313"/>
        <v>54.55</v>
      </c>
      <c r="Q3381" s="10" t="s">
        <v>8315</v>
      </c>
      <c r="R3381" s="10" t="s">
        <v>8316</v>
      </c>
      <c r="S3381" s="16">
        <f t="shared" si="314"/>
        <v>42225.513888888891</v>
      </c>
      <c r="T3381" s="16">
        <f t="shared" si="315"/>
        <v>42242.958333333328</v>
      </c>
      <c r="U3381">
        <f t="shared" si="316"/>
        <v>17</v>
      </c>
      <c r="V3381">
        <f t="shared" si="317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 s="8">
        <f t="shared" si="313"/>
        <v>111.89</v>
      </c>
      <c r="Q3382" s="10" t="s">
        <v>8315</v>
      </c>
      <c r="R3382" s="10" t="s">
        <v>8316</v>
      </c>
      <c r="S3382" s="16">
        <f t="shared" si="314"/>
        <v>41937.95344907407</v>
      </c>
      <c r="T3382" s="16">
        <f t="shared" si="315"/>
        <v>41972.995115740734</v>
      </c>
      <c r="U3382">
        <f t="shared" si="316"/>
        <v>35</v>
      </c>
      <c r="V3382">
        <f t="shared" si="317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 s="8">
        <f t="shared" si="313"/>
        <v>85.21</v>
      </c>
      <c r="Q3383" s="10" t="s">
        <v>8315</v>
      </c>
      <c r="R3383" s="10" t="s">
        <v>8316</v>
      </c>
      <c r="S3383" s="16">
        <f t="shared" si="314"/>
        <v>42044.184988425928</v>
      </c>
      <c r="T3383" s="16">
        <f t="shared" si="315"/>
        <v>42074.143321759257</v>
      </c>
      <c r="U3383">
        <f t="shared" si="316"/>
        <v>30</v>
      </c>
      <c r="V3383">
        <f t="shared" si="317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 s="8">
        <f t="shared" si="313"/>
        <v>76.650000000000006</v>
      </c>
      <c r="Q3384" s="10" t="s">
        <v>8315</v>
      </c>
      <c r="R3384" s="10" t="s">
        <v>8316</v>
      </c>
      <c r="S3384" s="16">
        <f t="shared" si="314"/>
        <v>42559.431203703702</v>
      </c>
      <c r="T3384" s="16">
        <f t="shared" si="315"/>
        <v>42583.957638888889</v>
      </c>
      <c r="U3384">
        <f t="shared" si="316"/>
        <v>25</v>
      </c>
      <c r="V3384">
        <f t="shared" si="317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 s="8">
        <f t="shared" si="313"/>
        <v>65.17</v>
      </c>
      <c r="Q3385" s="10" t="s">
        <v>8315</v>
      </c>
      <c r="R3385" s="10" t="s">
        <v>8316</v>
      </c>
      <c r="S3385" s="16">
        <f t="shared" si="314"/>
        <v>42524.782638888893</v>
      </c>
      <c r="T3385" s="16">
        <f t="shared" si="315"/>
        <v>42544.782638888893</v>
      </c>
      <c r="U3385">
        <f t="shared" si="316"/>
        <v>20</v>
      </c>
      <c r="V3385">
        <f t="shared" si="317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 s="8">
        <f t="shared" si="313"/>
        <v>93.76</v>
      </c>
      <c r="Q3386" s="10" t="s">
        <v>8315</v>
      </c>
      <c r="R3386" s="10" t="s">
        <v>8316</v>
      </c>
      <c r="S3386" s="16">
        <f t="shared" si="314"/>
        <v>42292.087592592594</v>
      </c>
      <c r="T3386" s="16">
        <f t="shared" si="315"/>
        <v>42329.125</v>
      </c>
      <c r="U3386">
        <f t="shared" si="316"/>
        <v>37</v>
      </c>
      <c r="V3386">
        <f t="shared" si="317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 s="8">
        <f t="shared" si="313"/>
        <v>133.33000000000001</v>
      </c>
      <c r="Q3387" s="10" t="s">
        <v>8315</v>
      </c>
      <c r="R3387" s="10" t="s">
        <v>8316</v>
      </c>
      <c r="S3387" s="16">
        <f t="shared" si="314"/>
        <v>41953.8675</v>
      </c>
      <c r="T3387" s="16">
        <f t="shared" si="315"/>
        <v>41983.8675</v>
      </c>
      <c r="U3387">
        <f t="shared" si="316"/>
        <v>30</v>
      </c>
      <c r="V3387">
        <f t="shared" si="317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 s="8">
        <f t="shared" si="313"/>
        <v>51.22</v>
      </c>
      <c r="Q3388" s="10" t="s">
        <v>8315</v>
      </c>
      <c r="R3388" s="10" t="s">
        <v>8316</v>
      </c>
      <c r="S3388" s="16">
        <f t="shared" si="314"/>
        <v>41946.644745370373</v>
      </c>
      <c r="T3388" s="16">
        <f t="shared" si="315"/>
        <v>41976.644745370373</v>
      </c>
      <c r="U3388">
        <f t="shared" si="316"/>
        <v>30</v>
      </c>
      <c r="V3388">
        <f t="shared" si="317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 s="8">
        <f t="shared" si="313"/>
        <v>100.17</v>
      </c>
      <c r="Q3389" s="10" t="s">
        <v>8315</v>
      </c>
      <c r="R3389" s="10" t="s">
        <v>8316</v>
      </c>
      <c r="S3389" s="16">
        <f t="shared" si="314"/>
        <v>41947.762592592589</v>
      </c>
      <c r="T3389" s="16">
        <f t="shared" si="315"/>
        <v>41987.762592592597</v>
      </c>
      <c r="U3389">
        <f t="shared" si="316"/>
        <v>40</v>
      </c>
      <c r="V3389">
        <f t="shared" si="317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 s="8">
        <f t="shared" si="313"/>
        <v>34.6</v>
      </c>
      <c r="Q3390" s="10" t="s">
        <v>8315</v>
      </c>
      <c r="R3390" s="10" t="s">
        <v>8316</v>
      </c>
      <c r="S3390" s="16">
        <f t="shared" si="314"/>
        <v>42143.461122685185</v>
      </c>
      <c r="T3390" s="16">
        <f t="shared" si="315"/>
        <v>42173.461122685185</v>
      </c>
      <c r="U3390">
        <f t="shared" si="316"/>
        <v>30</v>
      </c>
      <c r="V3390">
        <f t="shared" si="317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 s="8">
        <f t="shared" si="313"/>
        <v>184.68</v>
      </c>
      <c r="Q3391" s="10" t="s">
        <v>8315</v>
      </c>
      <c r="R3391" s="10" t="s">
        <v>8316</v>
      </c>
      <c r="S3391" s="16">
        <f t="shared" si="314"/>
        <v>42494.563449074078</v>
      </c>
      <c r="T3391" s="16">
        <f t="shared" si="315"/>
        <v>42524.563449074078</v>
      </c>
      <c r="U3391">
        <f t="shared" si="316"/>
        <v>30</v>
      </c>
      <c r="V3391">
        <f t="shared" si="317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 s="8">
        <f t="shared" si="313"/>
        <v>69.819999999999993</v>
      </c>
      <c r="Q3392" s="10" t="s">
        <v>8315</v>
      </c>
      <c r="R3392" s="10" t="s">
        <v>8316</v>
      </c>
      <c r="S3392" s="16">
        <f t="shared" si="314"/>
        <v>41815.774826388886</v>
      </c>
      <c r="T3392" s="16">
        <f t="shared" si="315"/>
        <v>41830.774826388886</v>
      </c>
      <c r="U3392">
        <f t="shared" si="316"/>
        <v>15</v>
      </c>
      <c r="V3392">
        <f t="shared" si="317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 s="8">
        <f t="shared" si="313"/>
        <v>61.94</v>
      </c>
      <c r="Q3393" s="10" t="s">
        <v>8315</v>
      </c>
      <c r="R3393" s="10" t="s">
        <v>8316</v>
      </c>
      <c r="S3393" s="16">
        <f t="shared" si="314"/>
        <v>41830.545694444445</v>
      </c>
      <c r="T3393" s="16">
        <f t="shared" si="315"/>
        <v>41859.936111111114</v>
      </c>
      <c r="U3393">
        <f t="shared" si="316"/>
        <v>29</v>
      </c>
      <c r="V3393">
        <f t="shared" si="317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ROUND((E3394/D3394)*100, 0)</f>
        <v>100</v>
      </c>
      <c r="P3394" s="8">
        <f t="shared" ref="P3394:P3457" si="319">IFERROR(ROUND(E3394/L3394, 2), 0)</f>
        <v>41.67</v>
      </c>
      <c r="Q3394" s="10" t="s">
        <v>8315</v>
      </c>
      <c r="R3394" s="10" t="s">
        <v>8316</v>
      </c>
      <c r="S3394" s="16">
        <f t="shared" ref="S3394:S3457" si="320">(J3394/60/60/24)+DATE(1970, 1, 1)</f>
        <v>42446.845543981486</v>
      </c>
      <c r="T3394" s="16">
        <f t="shared" ref="T3394:T3457" si="321">(I3394/60/60/24)+DATE(1970, 1, 1)</f>
        <v>42496.845543981486</v>
      </c>
      <c r="U3394">
        <f t="shared" si="316"/>
        <v>50</v>
      </c>
      <c r="V3394">
        <f t="shared" si="317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 s="8">
        <f t="shared" si="319"/>
        <v>36.07</v>
      </c>
      <c r="Q3395" s="10" t="s">
        <v>8315</v>
      </c>
      <c r="R3395" s="10" t="s">
        <v>8316</v>
      </c>
      <c r="S3395" s="16">
        <f t="shared" si="320"/>
        <v>41923.921643518523</v>
      </c>
      <c r="T3395" s="16">
        <f t="shared" si="321"/>
        <v>41949.031944444447</v>
      </c>
      <c r="U3395">
        <f t="shared" ref="U3395:U3458" si="322">ROUND(T3395-S3395, 0)</f>
        <v>25</v>
      </c>
      <c r="V3395">
        <f t="shared" ref="V3395:V3458" si="323">YEAR($S3395)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 s="8">
        <f t="shared" si="319"/>
        <v>29</v>
      </c>
      <c r="Q3396" s="10" t="s">
        <v>8315</v>
      </c>
      <c r="R3396" s="10" t="s">
        <v>8316</v>
      </c>
      <c r="S3396" s="16">
        <f t="shared" si="320"/>
        <v>41817.59542824074</v>
      </c>
      <c r="T3396" s="16">
        <f t="shared" si="321"/>
        <v>41847.59542824074</v>
      </c>
      <c r="U3396">
        <f t="shared" si="322"/>
        <v>30</v>
      </c>
      <c r="V3396">
        <f t="shared" si="323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 s="8">
        <f t="shared" si="319"/>
        <v>24.21</v>
      </c>
      <c r="Q3397" s="10" t="s">
        <v>8315</v>
      </c>
      <c r="R3397" s="10" t="s">
        <v>8316</v>
      </c>
      <c r="S3397" s="16">
        <f t="shared" si="320"/>
        <v>42140.712314814817</v>
      </c>
      <c r="T3397" s="16">
        <f t="shared" si="321"/>
        <v>42154.756944444445</v>
      </c>
      <c r="U3397">
        <f t="shared" si="322"/>
        <v>14</v>
      </c>
      <c r="V3397">
        <f t="shared" si="323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 s="8">
        <f t="shared" si="319"/>
        <v>55.89</v>
      </c>
      <c r="Q3398" s="10" t="s">
        <v>8315</v>
      </c>
      <c r="R3398" s="10" t="s">
        <v>8316</v>
      </c>
      <c r="S3398" s="16">
        <f t="shared" si="320"/>
        <v>41764.44663194444</v>
      </c>
      <c r="T3398" s="16">
        <f t="shared" si="321"/>
        <v>41791.165972222225</v>
      </c>
      <c r="U3398">
        <f t="shared" si="322"/>
        <v>27</v>
      </c>
      <c r="V3398">
        <f t="shared" si="323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 s="8">
        <f t="shared" si="319"/>
        <v>11.67</v>
      </c>
      <c r="Q3399" s="10" t="s">
        <v>8315</v>
      </c>
      <c r="R3399" s="10" t="s">
        <v>8316</v>
      </c>
      <c r="S3399" s="16">
        <f t="shared" si="320"/>
        <v>42378.478344907402</v>
      </c>
      <c r="T3399" s="16">
        <f t="shared" si="321"/>
        <v>42418.916666666672</v>
      </c>
      <c r="U3399">
        <f t="shared" si="322"/>
        <v>40</v>
      </c>
      <c r="V3399">
        <f t="shared" si="323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 s="8">
        <f t="shared" si="319"/>
        <v>68.349999999999994</v>
      </c>
      <c r="Q3400" s="10" t="s">
        <v>8315</v>
      </c>
      <c r="R3400" s="10" t="s">
        <v>8316</v>
      </c>
      <c r="S3400" s="16">
        <f t="shared" si="320"/>
        <v>41941.75203703704</v>
      </c>
      <c r="T3400" s="16">
        <f t="shared" si="321"/>
        <v>41964.708333333328</v>
      </c>
      <c r="U3400">
        <f t="shared" si="322"/>
        <v>23</v>
      </c>
      <c r="V3400">
        <f t="shared" si="323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 s="8">
        <f t="shared" si="319"/>
        <v>27.07</v>
      </c>
      <c r="Q3401" s="10" t="s">
        <v>8315</v>
      </c>
      <c r="R3401" s="10" t="s">
        <v>8316</v>
      </c>
      <c r="S3401" s="16">
        <f t="shared" si="320"/>
        <v>42026.920428240745</v>
      </c>
      <c r="T3401" s="16">
        <f t="shared" si="321"/>
        <v>42056.920428240745</v>
      </c>
      <c r="U3401">
        <f t="shared" si="322"/>
        <v>30</v>
      </c>
      <c r="V3401">
        <f t="shared" si="323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 s="8">
        <f t="shared" si="319"/>
        <v>118.13</v>
      </c>
      <c r="Q3402" s="10" t="s">
        <v>8315</v>
      </c>
      <c r="R3402" s="10" t="s">
        <v>8316</v>
      </c>
      <c r="S3402" s="16">
        <f t="shared" si="320"/>
        <v>41834.953865740739</v>
      </c>
      <c r="T3402" s="16">
        <f t="shared" si="321"/>
        <v>41879.953865740739</v>
      </c>
      <c r="U3402">
        <f t="shared" si="322"/>
        <v>45</v>
      </c>
      <c r="V3402">
        <f t="shared" si="323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 s="8">
        <f t="shared" si="319"/>
        <v>44.76</v>
      </c>
      <c r="Q3403" s="10" t="s">
        <v>8315</v>
      </c>
      <c r="R3403" s="10" t="s">
        <v>8316</v>
      </c>
      <c r="S3403" s="16">
        <f t="shared" si="320"/>
        <v>42193.723912037036</v>
      </c>
      <c r="T3403" s="16">
        <f t="shared" si="321"/>
        <v>42223.723912037036</v>
      </c>
      <c r="U3403">
        <f t="shared" si="322"/>
        <v>30</v>
      </c>
      <c r="V3403">
        <f t="shared" si="323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 s="8">
        <f t="shared" si="319"/>
        <v>99.79</v>
      </c>
      <c r="Q3404" s="10" t="s">
        <v>8315</v>
      </c>
      <c r="R3404" s="10" t="s">
        <v>8316</v>
      </c>
      <c r="S3404" s="16">
        <f t="shared" si="320"/>
        <v>42290.61855324074</v>
      </c>
      <c r="T3404" s="16">
        <f t="shared" si="321"/>
        <v>42320.104861111111</v>
      </c>
      <c r="U3404">
        <f t="shared" si="322"/>
        <v>29</v>
      </c>
      <c r="V3404">
        <f t="shared" si="323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 s="8">
        <f t="shared" si="319"/>
        <v>117.65</v>
      </c>
      <c r="Q3405" s="10" t="s">
        <v>8315</v>
      </c>
      <c r="R3405" s="10" t="s">
        <v>8316</v>
      </c>
      <c r="S3405" s="16">
        <f t="shared" si="320"/>
        <v>42150.462083333332</v>
      </c>
      <c r="T3405" s="16">
        <f t="shared" si="321"/>
        <v>42180.462083333332</v>
      </c>
      <c r="U3405">
        <f t="shared" si="322"/>
        <v>30</v>
      </c>
      <c r="V3405">
        <f t="shared" si="323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 s="8">
        <f t="shared" si="319"/>
        <v>203.33</v>
      </c>
      <c r="Q3406" s="10" t="s">
        <v>8315</v>
      </c>
      <c r="R3406" s="10" t="s">
        <v>8316</v>
      </c>
      <c r="S3406" s="16">
        <f t="shared" si="320"/>
        <v>42152.503495370373</v>
      </c>
      <c r="T3406" s="16">
        <f t="shared" si="321"/>
        <v>42172.503495370373</v>
      </c>
      <c r="U3406">
        <f t="shared" si="322"/>
        <v>20</v>
      </c>
      <c r="V3406">
        <f t="shared" si="323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 s="8">
        <f t="shared" si="319"/>
        <v>28.32</v>
      </c>
      <c r="Q3407" s="10" t="s">
        <v>8315</v>
      </c>
      <c r="R3407" s="10" t="s">
        <v>8316</v>
      </c>
      <c r="S3407" s="16">
        <f t="shared" si="320"/>
        <v>42410.017199074078</v>
      </c>
      <c r="T3407" s="16">
        <f t="shared" si="321"/>
        <v>42430.999305555553</v>
      </c>
      <c r="U3407">
        <f t="shared" si="322"/>
        <v>21</v>
      </c>
      <c r="V3407">
        <f t="shared" si="323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 s="8">
        <f t="shared" si="319"/>
        <v>110.23</v>
      </c>
      <c r="Q3408" s="10" t="s">
        <v>8315</v>
      </c>
      <c r="R3408" s="10" t="s">
        <v>8316</v>
      </c>
      <c r="S3408" s="16">
        <f t="shared" si="320"/>
        <v>41791.492777777778</v>
      </c>
      <c r="T3408" s="16">
        <f t="shared" si="321"/>
        <v>41836.492777777778</v>
      </c>
      <c r="U3408">
        <f t="shared" si="322"/>
        <v>45</v>
      </c>
      <c r="V3408">
        <f t="shared" si="323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 s="8">
        <f t="shared" si="319"/>
        <v>31.97</v>
      </c>
      <c r="Q3409" s="10" t="s">
        <v>8315</v>
      </c>
      <c r="R3409" s="10" t="s">
        <v>8316</v>
      </c>
      <c r="S3409" s="16">
        <f t="shared" si="320"/>
        <v>41796.422326388885</v>
      </c>
      <c r="T3409" s="16">
        <f t="shared" si="321"/>
        <v>41826.422326388885</v>
      </c>
      <c r="U3409">
        <f t="shared" si="322"/>
        <v>30</v>
      </c>
      <c r="V3409">
        <f t="shared" si="323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 s="8">
        <f t="shared" si="319"/>
        <v>58.61</v>
      </c>
      <c r="Q3410" s="10" t="s">
        <v>8315</v>
      </c>
      <c r="R3410" s="10" t="s">
        <v>8316</v>
      </c>
      <c r="S3410" s="16">
        <f t="shared" si="320"/>
        <v>41808.991944444446</v>
      </c>
      <c r="T3410" s="16">
        <f t="shared" si="321"/>
        <v>41838.991944444446</v>
      </c>
      <c r="U3410">
        <f t="shared" si="322"/>
        <v>30</v>
      </c>
      <c r="V3410">
        <f t="shared" si="323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 s="8">
        <f t="shared" si="319"/>
        <v>29.43</v>
      </c>
      <c r="Q3411" s="10" t="s">
        <v>8315</v>
      </c>
      <c r="R3411" s="10" t="s">
        <v>8316</v>
      </c>
      <c r="S3411" s="16">
        <f t="shared" si="320"/>
        <v>42544.814328703709</v>
      </c>
      <c r="T3411" s="16">
        <f t="shared" si="321"/>
        <v>42582.873611111107</v>
      </c>
      <c r="U3411">
        <f t="shared" si="322"/>
        <v>38</v>
      </c>
      <c r="V3411">
        <f t="shared" si="323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 s="8">
        <f t="shared" si="319"/>
        <v>81.38</v>
      </c>
      <c r="Q3412" s="10" t="s">
        <v>8315</v>
      </c>
      <c r="R3412" s="10" t="s">
        <v>8316</v>
      </c>
      <c r="S3412" s="16">
        <f t="shared" si="320"/>
        <v>42500.041550925926</v>
      </c>
      <c r="T3412" s="16">
        <f t="shared" si="321"/>
        <v>42527.291666666672</v>
      </c>
      <c r="U3412">
        <f t="shared" si="322"/>
        <v>27</v>
      </c>
      <c r="V3412">
        <f t="shared" si="323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 s="8">
        <f t="shared" si="319"/>
        <v>199.17</v>
      </c>
      <c r="Q3413" s="10" t="s">
        <v>8315</v>
      </c>
      <c r="R3413" s="10" t="s">
        <v>8316</v>
      </c>
      <c r="S3413" s="16">
        <f t="shared" si="320"/>
        <v>42265.022824074069</v>
      </c>
      <c r="T3413" s="16">
        <f t="shared" si="321"/>
        <v>42285.022824074069</v>
      </c>
      <c r="U3413">
        <f t="shared" si="322"/>
        <v>20</v>
      </c>
      <c r="V3413">
        <f t="shared" si="323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 s="8">
        <f t="shared" si="319"/>
        <v>115.38</v>
      </c>
      <c r="Q3414" s="10" t="s">
        <v>8315</v>
      </c>
      <c r="R3414" s="10" t="s">
        <v>8316</v>
      </c>
      <c r="S3414" s="16">
        <f t="shared" si="320"/>
        <v>41879.959050925929</v>
      </c>
      <c r="T3414" s="16">
        <f t="shared" si="321"/>
        <v>41909.959050925929</v>
      </c>
      <c r="U3414">
        <f t="shared" si="322"/>
        <v>30</v>
      </c>
      <c r="V3414">
        <f t="shared" si="323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 s="8">
        <f t="shared" si="319"/>
        <v>46.43</v>
      </c>
      <c r="Q3415" s="10" t="s">
        <v>8315</v>
      </c>
      <c r="R3415" s="10" t="s">
        <v>8316</v>
      </c>
      <c r="S3415" s="16">
        <f t="shared" si="320"/>
        <v>42053.733078703706</v>
      </c>
      <c r="T3415" s="16">
        <f t="shared" si="321"/>
        <v>42063.207638888889</v>
      </c>
      <c r="U3415">
        <f t="shared" si="322"/>
        <v>9</v>
      </c>
      <c r="V3415">
        <f t="shared" si="323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 s="8">
        <f t="shared" si="319"/>
        <v>70.569999999999993</v>
      </c>
      <c r="Q3416" s="10" t="s">
        <v>8315</v>
      </c>
      <c r="R3416" s="10" t="s">
        <v>8316</v>
      </c>
      <c r="S3416" s="16">
        <f t="shared" si="320"/>
        <v>42675.832465277781</v>
      </c>
      <c r="T3416" s="16">
        <f t="shared" si="321"/>
        <v>42705.332638888889</v>
      </c>
      <c r="U3416">
        <f t="shared" si="322"/>
        <v>30</v>
      </c>
      <c r="V3416">
        <f t="shared" si="323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 s="8">
        <f t="shared" si="319"/>
        <v>22.22</v>
      </c>
      <c r="Q3417" s="10" t="s">
        <v>8315</v>
      </c>
      <c r="R3417" s="10" t="s">
        <v>8316</v>
      </c>
      <c r="S3417" s="16">
        <f t="shared" si="320"/>
        <v>42467.144166666665</v>
      </c>
      <c r="T3417" s="16">
        <f t="shared" si="321"/>
        <v>42477.979166666672</v>
      </c>
      <c r="U3417">
        <f t="shared" si="322"/>
        <v>11</v>
      </c>
      <c r="V3417">
        <f t="shared" si="323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 s="8">
        <f t="shared" si="319"/>
        <v>159.47</v>
      </c>
      <c r="Q3418" s="10" t="s">
        <v>8315</v>
      </c>
      <c r="R3418" s="10" t="s">
        <v>8316</v>
      </c>
      <c r="S3418" s="16">
        <f t="shared" si="320"/>
        <v>42089.412557870368</v>
      </c>
      <c r="T3418" s="16">
        <f t="shared" si="321"/>
        <v>42117.770833333328</v>
      </c>
      <c r="U3418">
        <f t="shared" si="322"/>
        <v>28</v>
      </c>
      <c r="V3418">
        <f t="shared" si="323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 s="8">
        <f t="shared" si="319"/>
        <v>37.78</v>
      </c>
      <c r="Q3419" s="10" t="s">
        <v>8315</v>
      </c>
      <c r="R3419" s="10" t="s">
        <v>8316</v>
      </c>
      <c r="S3419" s="16">
        <f t="shared" si="320"/>
        <v>41894.91375</v>
      </c>
      <c r="T3419" s="16">
        <f t="shared" si="321"/>
        <v>41938.029861111114</v>
      </c>
      <c r="U3419">
        <f t="shared" si="322"/>
        <v>43</v>
      </c>
      <c r="V3419">
        <f t="shared" si="323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 s="8">
        <f t="shared" si="319"/>
        <v>72.05</v>
      </c>
      <c r="Q3420" s="10" t="s">
        <v>8315</v>
      </c>
      <c r="R3420" s="10" t="s">
        <v>8316</v>
      </c>
      <c r="S3420" s="16">
        <f t="shared" si="320"/>
        <v>41752.83457175926</v>
      </c>
      <c r="T3420" s="16">
        <f t="shared" si="321"/>
        <v>41782.83457175926</v>
      </c>
      <c r="U3420">
        <f t="shared" si="322"/>
        <v>30</v>
      </c>
      <c r="V3420">
        <f t="shared" si="323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 s="8">
        <f t="shared" si="319"/>
        <v>63.7</v>
      </c>
      <c r="Q3421" s="10" t="s">
        <v>8315</v>
      </c>
      <c r="R3421" s="10" t="s">
        <v>8316</v>
      </c>
      <c r="S3421" s="16">
        <f t="shared" si="320"/>
        <v>42448.821585648147</v>
      </c>
      <c r="T3421" s="16">
        <f t="shared" si="321"/>
        <v>42466.895833333328</v>
      </c>
      <c r="U3421">
        <f t="shared" si="322"/>
        <v>18</v>
      </c>
      <c r="V3421">
        <f t="shared" si="323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 s="8">
        <f t="shared" si="319"/>
        <v>28.41</v>
      </c>
      <c r="Q3422" s="10" t="s">
        <v>8315</v>
      </c>
      <c r="R3422" s="10" t="s">
        <v>8316</v>
      </c>
      <c r="S3422" s="16">
        <f t="shared" si="320"/>
        <v>42405.090300925927</v>
      </c>
      <c r="T3422" s="16">
        <f t="shared" si="321"/>
        <v>42414</v>
      </c>
      <c r="U3422">
        <f t="shared" si="322"/>
        <v>9</v>
      </c>
      <c r="V3422">
        <f t="shared" si="323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 s="8">
        <f t="shared" si="319"/>
        <v>103.21</v>
      </c>
      <c r="Q3423" s="10" t="s">
        <v>8315</v>
      </c>
      <c r="R3423" s="10" t="s">
        <v>8316</v>
      </c>
      <c r="S3423" s="16">
        <f t="shared" si="320"/>
        <v>42037.791238425925</v>
      </c>
      <c r="T3423" s="16">
        <f t="shared" si="321"/>
        <v>42067.791238425925</v>
      </c>
      <c r="U3423">
        <f t="shared" si="322"/>
        <v>30</v>
      </c>
      <c r="V3423">
        <f t="shared" si="323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 s="8">
        <f t="shared" si="319"/>
        <v>71.150000000000006</v>
      </c>
      <c r="Q3424" s="10" t="s">
        <v>8315</v>
      </c>
      <c r="R3424" s="10" t="s">
        <v>8316</v>
      </c>
      <c r="S3424" s="16">
        <f t="shared" si="320"/>
        <v>42323.562222222223</v>
      </c>
      <c r="T3424" s="16">
        <f t="shared" si="321"/>
        <v>42352</v>
      </c>
      <c r="U3424">
        <f t="shared" si="322"/>
        <v>28</v>
      </c>
      <c r="V3424">
        <f t="shared" si="323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 s="8">
        <f t="shared" si="319"/>
        <v>35</v>
      </c>
      <c r="Q3425" s="10" t="s">
        <v>8315</v>
      </c>
      <c r="R3425" s="10" t="s">
        <v>8316</v>
      </c>
      <c r="S3425" s="16">
        <f t="shared" si="320"/>
        <v>42088.911354166667</v>
      </c>
      <c r="T3425" s="16">
        <f t="shared" si="321"/>
        <v>42118.911354166667</v>
      </c>
      <c r="U3425">
        <f t="shared" si="322"/>
        <v>30</v>
      </c>
      <c r="V3425">
        <f t="shared" si="323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 s="8">
        <f t="shared" si="319"/>
        <v>81.78</v>
      </c>
      <c r="Q3426" s="10" t="s">
        <v>8315</v>
      </c>
      <c r="R3426" s="10" t="s">
        <v>8316</v>
      </c>
      <c r="S3426" s="16">
        <f t="shared" si="320"/>
        <v>42018.676898148144</v>
      </c>
      <c r="T3426" s="16">
        <f t="shared" si="321"/>
        <v>42040.290972222225</v>
      </c>
      <c r="U3426">
        <f t="shared" si="322"/>
        <v>22</v>
      </c>
      <c r="V3426">
        <f t="shared" si="323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 s="8">
        <f t="shared" si="319"/>
        <v>297.02999999999997</v>
      </c>
      <c r="Q3427" s="10" t="s">
        <v>8315</v>
      </c>
      <c r="R3427" s="10" t="s">
        <v>8316</v>
      </c>
      <c r="S3427" s="16">
        <f t="shared" si="320"/>
        <v>41884.617314814815</v>
      </c>
      <c r="T3427" s="16">
        <f t="shared" si="321"/>
        <v>41916.617314814815</v>
      </c>
      <c r="U3427">
        <f t="shared" si="322"/>
        <v>32</v>
      </c>
      <c r="V3427">
        <f t="shared" si="323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 s="8">
        <f t="shared" si="319"/>
        <v>46.61</v>
      </c>
      <c r="Q3428" s="10" t="s">
        <v>8315</v>
      </c>
      <c r="R3428" s="10" t="s">
        <v>8316</v>
      </c>
      <c r="S3428" s="16">
        <f t="shared" si="320"/>
        <v>41884.056747685187</v>
      </c>
      <c r="T3428" s="16">
        <f t="shared" si="321"/>
        <v>41903.083333333336</v>
      </c>
      <c r="U3428">
        <f t="shared" si="322"/>
        <v>19</v>
      </c>
      <c r="V3428">
        <f t="shared" si="323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 s="8">
        <f t="shared" si="319"/>
        <v>51.72</v>
      </c>
      <c r="Q3429" s="10" t="s">
        <v>8315</v>
      </c>
      <c r="R3429" s="10" t="s">
        <v>8316</v>
      </c>
      <c r="S3429" s="16">
        <f t="shared" si="320"/>
        <v>41792.645277777774</v>
      </c>
      <c r="T3429" s="16">
        <f t="shared" si="321"/>
        <v>41822.645277777774</v>
      </c>
      <c r="U3429">
        <f t="shared" si="322"/>
        <v>30</v>
      </c>
      <c r="V3429">
        <f t="shared" si="323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 s="8">
        <f t="shared" si="319"/>
        <v>40.29</v>
      </c>
      <c r="Q3430" s="10" t="s">
        <v>8315</v>
      </c>
      <c r="R3430" s="10" t="s">
        <v>8316</v>
      </c>
      <c r="S3430" s="16">
        <f t="shared" si="320"/>
        <v>42038.720451388886</v>
      </c>
      <c r="T3430" s="16">
        <f t="shared" si="321"/>
        <v>42063.708333333328</v>
      </c>
      <c r="U3430">
        <f t="shared" si="322"/>
        <v>25</v>
      </c>
      <c r="V3430">
        <f t="shared" si="323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 s="8">
        <f t="shared" si="319"/>
        <v>16.25</v>
      </c>
      <c r="Q3431" s="10" t="s">
        <v>8315</v>
      </c>
      <c r="R3431" s="10" t="s">
        <v>8316</v>
      </c>
      <c r="S3431" s="16">
        <f t="shared" si="320"/>
        <v>42662.021539351852</v>
      </c>
      <c r="T3431" s="16">
        <f t="shared" si="321"/>
        <v>42676.021539351852</v>
      </c>
      <c r="U3431">
        <f t="shared" si="322"/>
        <v>14</v>
      </c>
      <c r="V3431">
        <f t="shared" si="323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 s="8">
        <f t="shared" si="319"/>
        <v>30.15</v>
      </c>
      <c r="Q3432" s="10" t="s">
        <v>8315</v>
      </c>
      <c r="R3432" s="10" t="s">
        <v>8316</v>
      </c>
      <c r="S3432" s="16">
        <f t="shared" si="320"/>
        <v>41820.945613425924</v>
      </c>
      <c r="T3432" s="16">
        <f t="shared" si="321"/>
        <v>41850.945613425924</v>
      </c>
      <c r="U3432">
        <f t="shared" si="322"/>
        <v>30</v>
      </c>
      <c r="V3432">
        <f t="shared" si="323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 s="8">
        <f t="shared" si="319"/>
        <v>95.24</v>
      </c>
      <c r="Q3433" s="10" t="s">
        <v>8315</v>
      </c>
      <c r="R3433" s="10" t="s">
        <v>8316</v>
      </c>
      <c r="S3433" s="16">
        <f t="shared" si="320"/>
        <v>41839.730937500004</v>
      </c>
      <c r="T3433" s="16">
        <f t="shared" si="321"/>
        <v>41869.730937500004</v>
      </c>
      <c r="U3433">
        <f t="shared" si="322"/>
        <v>30</v>
      </c>
      <c r="V3433">
        <f t="shared" si="323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 s="8">
        <f t="shared" si="319"/>
        <v>52.21</v>
      </c>
      <c r="Q3434" s="10" t="s">
        <v>8315</v>
      </c>
      <c r="R3434" s="10" t="s">
        <v>8316</v>
      </c>
      <c r="S3434" s="16">
        <f t="shared" si="320"/>
        <v>42380.581180555557</v>
      </c>
      <c r="T3434" s="16">
        <f t="shared" si="321"/>
        <v>42405.916666666672</v>
      </c>
      <c r="U3434">
        <f t="shared" si="322"/>
        <v>25</v>
      </c>
      <c r="V3434">
        <f t="shared" si="323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 s="8">
        <f t="shared" si="319"/>
        <v>134.15</v>
      </c>
      <c r="Q3435" s="10" t="s">
        <v>8315</v>
      </c>
      <c r="R3435" s="10" t="s">
        <v>8316</v>
      </c>
      <c r="S3435" s="16">
        <f t="shared" si="320"/>
        <v>41776.063136574077</v>
      </c>
      <c r="T3435" s="16">
        <f t="shared" si="321"/>
        <v>41807.125</v>
      </c>
      <c r="U3435">
        <f t="shared" si="322"/>
        <v>31</v>
      </c>
      <c r="V3435">
        <f t="shared" si="323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 s="8">
        <f t="shared" si="319"/>
        <v>62.83</v>
      </c>
      <c r="Q3436" s="10" t="s">
        <v>8315</v>
      </c>
      <c r="R3436" s="10" t="s">
        <v>8316</v>
      </c>
      <c r="S3436" s="16">
        <f t="shared" si="320"/>
        <v>41800.380428240744</v>
      </c>
      <c r="T3436" s="16">
        <f t="shared" si="321"/>
        <v>41830.380428240744</v>
      </c>
      <c r="U3436">
        <f t="shared" si="322"/>
        <v>30</v>
      </c>
      <c r="V3436">
        <f t="shared" si="323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 s="8">
        <f t="shared" si="319"/>
        <v>58.95</v>
      </c>
      <c r="Q3437" s="10" t="s">
        <v>8315</v>
      </c>
      <c r="R3437" s="10" t="s">
        <v>8316</v>
      </c>
      <c r="S3437" s="16">
        <f t="shared" si="320"/>
        <v>42572.61681712963</v>
      </c>
      <c r="T3437" s="16">
        <f t="shared" si="321"/>
        <v>42589.125</v>
      </c>
      <c r="U3437">
        <f t="shared" si="322"/>
        <v>17</v>
      </c>
      <c r="V3437">
        <f t="shared" si="323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 s="8">
        <f t="shared" si="319"/>
        <v>143.11000000000001</v>
      </c>
      <c r="Q3438" s="10" t="s">
        <v>8315</v>
      </c>
      <c r="R3438" s="10" t="s">
        <v>8316</v>
      </c>
      <c r="S3438" s="16">
        <f t="shared" si="320"/>
        <v>41851.541585648149</v>
      </c>
      <c r="T3438" s="16">
        <f t="shared" si="321"/>
        <v>41872.686111111114</v>
      </c>
      <c r="U3438">
        <f t="shared" si="322"/>
        <v>21</v>
      </c>
      <c r="V3438">
        <f t="shared" si="323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 s="8">
        <f t="shared" si="319"/>
        <v>84.17</v>
      </c>
      <c r="Q3439" s="10" t="s">
        <v>8315</v>
      </c>
      <c r="R3439" s="10" t="s">
        <v>8316</v>
      </c>
      <c r="S3439" s="16">
        <f t="shared" si="320"/>
        <v>42205.710879629631</v>
      </c>
      <c r="T3439" s="16">
        <f t="shared" si="321"/>
        <v>42235.710879629631</v>
      </c>
      <c r="U3439">
        <f t="shared" si="322"/>
        <v>30</v>
      </c>
      <c r="V3439">
        <f t="shared" si="323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 s="8">
        <f t="shared" si="319"/>
        <v>186.07</v>
      </c>
      <c r="Q3440" s="10" t="s">
        <v>8315</v>
      </c>
      <c r="R3440" s="10" t="s">
        <v>8316</v>
      </c>
      <c r="S3440" s="16">
        <f t="shared" si="320"/>
        <v>42100.927858796291</v>
      </c>
      <c r="T3440" s="16">
        <f t="shared" si="321"/>
        <v>42126.875</v>
      </c>
      <c r="U3440">
        <f t="shared" si="322"/>
        <v>26</v>
      </c>
      <c r="V3440">
        <f t="shared" si="323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 s="8">
        <f t="shared" si="319"/>
        <v>89.79</v>
      </c>
      <c r="Q3441" s="10" t="s">
        <v>8315</v>
      </c>
      <c r="R3441" s="10" t="s">
        <v>8316</v>
      </c>
      <c r="S3441" s="16">
        <f t="shared" si="320"/>
        <v>42374.911226851851</v>
      </c>
      <c r="T3441" s="16">
        <f t="shared" si="321"/>
        <v>42388.207638888889</v>
      </c>
      <c r="U3441">
        <f t="shared" si="322"/>
        <v>13</v>
      </c>
      <c r="V3441">
        <f t="shared" si="323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 s="8">
        <f t="shared" si="319"/>
        <v>64.16</v>
      </c>
      <c r="Q3442" s="10" t="s">
        <v>8315</v>
      </c>
      <c r="R3442" s="10" t="s">
        <v>8316</v>
      </c>
      <c r="S3442" s="16">
        <f t="shared" si="320"/>
        <v>41809.12300925926</v>
      </c>
      <c r="T3442" s="16">
        <f t="shared" si="321"/>
        <v>41831.677083333336</v>
      </c>
      <c r="U3442">
        <f t="shared" si="322"/>
        <v>23</v>
      </c>
      <c r="V3442">
        <f t="shared" si="323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 s="8">
        <f t="shared" si="319"/>
        <v>59.65</v>
      </c>
      <c r="Q3443" s="10" t="s">
        <v>8315</v>
      </c>
      <c r="R3443" s="10" t="s">
        <v>8316</v>
      </c>
      <c r="S3443" s="16">
        <f t="shared" si="320"/>
        <v>42294.429641203707</v>
      </c>
      <c r="T3443" s="16">
        <f t="shared" si="321"/>
        <v>42321.845138888893</v>
      </c>
      <c r="U3443">
        <f t="shared" si="322"/>
        <v>27</v>
      </c>
      <c r="V3443">
        <f t="shared" si="323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 s="8">
        <f t="shared" si="319"/>
        <v>31.25</v>
      </c>
      <c r="Q3444" s="10" t="s">
        <v>8315</v>
      </c>
      <c r="R3444" s="10" t="s">
        <v>8316</v>
      </c>
      <c r="S3444" s="16">
        <f t="shared" si="320"/>
        <v>42124.841111111105</v>
      </c>
      <c r="T3444" s="16">
        <f t="shared" si="321"/>
        <v>42154.841111111105</v>
      </c>
      <c r="U3444">
        <f t="shared" si="322"/>
        <v>30</v>
      </c>
      <c r="V3444">
        <f t="shared" si="323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 s="8">
        <f t="shared" si="319"/>
        <v>41.22</v>
      </c>
      <c r="Q3445" s="10" t="s">
        <v>8315</v>
      </c>
      <c r="R3445" s="10" t="s">
        <v>8316</v>
      </c>
      <c r="S3445" s="16">
        <f t="shared" si="320"/>
        <v>41861.524837962963</v>
      </c>
      <c r="T3445" s="16">
        <f t="shared" si="321"/>
        <v>41891.524837962963</v>
      </c>
      <c r="U3445">
        <f t="shared" si="322"/>
        <v>30</v>
      </c>
      <c r="V3445">
        <f t="shared" si="323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 s="8">
        <f t="shared" si="319"/>
        <v>43.35</v>
      </c>
      <c r="Q3446" s="10" t="s">
        <v>8315</v>
      </c>
      <c r="R3446" s="10" t="s">
        <v>8316</v>
      </c>
      <c r="S3446" s="16">
        <f t="shared" si="320"/>
        <v>42521.291504629626</v>
      </c>
      <c r="T3446" s="16">
        <f t="shared" si="321"/>
        <v>42529.582638888889</v>
      </c>
      <c r="U3446">
        <f t="shared" si="322"/>
        <v>8</v>
      </c>
      <c r="V3446">
        <f t="shared" si="323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 s="8">
        <f t="shared" si="319"/>
        <v>64.52</v>
      </c>
      <c r="Q3447" s="10" t="s">
        <v>8315</v>
      </c>
      <c r="R3447" s="10" t="s">
        <v>8316</v>
      </c>
      <c r="S3447" s="16">
        <f t="shared" si="320"/>
        <v>42272.530509259261</v>
      </c>
      <c r="T3447" s="16">
        <f t="shared" si="321"/>
        <v>42300.530509259261</v>
      </c>
      <c r="U3447">
        <f t="shared" si="322"/>
        <v>28</v>
      </c>
      <c r="V3447">
        <f t="shared" si="323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 s="8">
        <f t="shared" si="319"/>
        <v>43.28</v>
      </c>
      <c r="Q3448" s="10" t="s">
        <v>8315</v>
      </c>
      <c r="R3448" s="10" t="s">
        <v>8316</v>
      </c>
      <c r="S3448" s="16">
        <f t="shared" si="320"/>
        <v>42016.832465277781</v>
      </c>
      <c r="T3448" s="16">
        <f t="shared" si="321"/>
        <v>42040.513888888891</v>
      </c>
      <c r="U3448">
        <f t="shared" si="322"/>
        <v>24</v>
      </c>
      <c r="V3448">
        <f t="shared" si="323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 s="8">
        <f t="shared" si="319"/>
        <v>77</v>
      </c>
      <c r="Q3449" s="10" t="s">
        <v>8315</v>
      </c>
      <c r="R3449" s="10" t="s">
        <v>8316</v>
      </c>
      <c r="S3449" s="16">
        <f t="shared" si="320"/>
        <v>42402.889027777783</v>
      </c>
      <c r="T3449" s="16">
        <f t="shared" si="321"/>
        <v>42447.847361111111</v>
      </c>
      <c r="U3449">
        <f t="shared" si="322"/>
        <v>45</v>
      </c>
      <c r="V3449">
        <f t="shared" si="323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 s="8">
        <f t="shared" si="319"/>
        <v>51.22</v>
      </c>
      <c r="Q3450" s="10" t="s">
        <v>8315</v>
      </c>
      <c r="R3450" s="10" t="s">
        <v>8316</v>
      </c>
      <c r="S3450" s="16">
        <f t="shared" si="320"/>
        <v>41960.119085648148</v>
      </c>
      <c r="T3450" s="16">
        <f t="shared" si="321"/>
        <v>41990.119085648148</v>
      </c>
      <c r="U3450">
        <f t="shared" si="322"/>
        <v>30</v>
      </c>
      <c r="V3450">
        <f t="shared" si="323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 s="8">
        <f t="shared" si="319"/>
        <v>68.25</v>
      </c>
      <c r="Q3451" s="10" t="s">
        <v>8315</v>
      </c>
      <c r="R3451" s="10" t="s">
        <v>8316</v>
      </c>
      <c r="S3451" s="16">
        <f t="shared" si="320"/>
        <v>42532.052523148144</v>
      </c>
      <c r="T3451" s="16">
        <f t="shared" si="321"/>
        <v>42560.166666666672</v>
      </c>
      <c r="U3451">
        <f t="shared" si="322"/>
        <v>28</v>
      </c>
      <c r="V3451">
        <f t="shared" si="323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 s="8">
        <f t="shared" si="319"/>
        <v>19.489999999999998</v>
      </c>
      <c r="Q3452" s="10" t="s">
        <v>8315</v>
      </c>
      <c r="R3452" s="10" t="s">
        <v>8316</v>
      </c>
      <c r="S3452" s="16">
        <f t="shared" si="320"/>
        <v>42036.704525462963</v>
      </c>
      <c r="T3452" s="16">
        <f t="shared" si="321"/>
        <v>42096.662858796291</v>
      </c>
      <c r="U3452">
        <f t="shared" si="322"/>
        <v>60</v>
      </c>
      <c r="V3452">
        <f t="shared" si="323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 s="8">
        <f t="shared" si="319"/>
        <v>41.13</v>
      </c>
      <c r="Q3453" s="10" t="s">
        <v>8315</v>
      </c>
      <c r="R3453" s="10" t="s">
        <v>8316</v>
      </c>
      <c r="S3453" s="16">
        <f t="shared" si="320"/>
        <v>42088.723692129628</v>
      </c>
      <c r="T3453" s="16">
        <f t="shared" si="321"/>
        <v>42115.723692129628</v>
      </c>
      <c r="U3453">
        <f t="shared" si="322"/>
        <v>27</v>
      </c>
      <c r="V3453">
        <f t="shared" si="323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 s="8">
        <f t="shared" si="319"/>
        <v>41.41</v>
      </c>
      <c r="Q3454" s="10" t="s">
        <v>8315</v>
      </c>
      <c r="R3454" s="10" t="s">
        <v>8316</v>
      </c>
      <c r="S3454" s="16">
        <f t="shared" si="320"/>
        <v>41820.639189814814</v>
      </c>
      <c r="T3454" s="16">
        <f t="shared" si="321"/>
        <v>41843.165972222225</v>
      </c>
      <c r="U3454">
        <f t="shared" si="322"/>
        <v>23</v>
      </c>
      <c r="V3454">
        <f t="shared" si="323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 s="8">
        <f t="shared" si="319"/>
        <v>27.5</v>
      </c>
      <c r="Q3455" s="10" t="s">
        <v>8315</v>
      </c>
      <c r="R3455" s="10" t="s">
        <v>8316</v>
      </c>
      <c r="S3455" s="16">
        <f t="shared" si="320"/>
        <v>42535.97865740741</v>
      </c>
      <c r="T3455" s="16">
        <f t="shared" si="321"/>
        <v>42595.97865740741</v>
      </c>
      <c r="U3455">
        <f t="shared" si="322"/>
        <v>60</v>
      </c>
      <c r="V3455">
        <f t="shared" si="323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 s="8">
        <f t="shared" si="319"/>
        <v>33.57</v>
      </c>
      <c r="Q3456" s="10" t="s">
        <v>8315</v>
      </c>
      <c r="R3456" s="10" t="s">
        <v>8316</v>
      </c>
      <c r="S3456" s="16">
        <f t="shared" si="320"/>
        <v>41821.698599537034</v>
      </c>
      <c r="T3456" s="16">
        <f t="shared" si="321"/>
        <v>41851.698599537034</v>
      </c>
      <c r="U3456">
        <f t="shared" si="322"/>
        <v>30</v>
      </c>
      <c r="V3456">
        <f t="shared" si="323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 s="8">
        <f t="shared" si="319"/>
        <v>145.87</v>
      </c>
      <c r="Q3457" s="10" t="s">
        <v>8315</v>
      </c>
      <c r="R3457" s="10" t="s">
        <v>8316</v>
      </c>
      <c r="S3457" s="16">
        <f t="shared" si="320"/>
        <v>42626.7503125</v>
      </c>
      <c r="T3457" s="16">
        <f t="shared" si="321"/>
        <v>42656.7503125</v>
      </c>
      <c r="U3457">
        <f t="shared" si="322"/>
        <v>30</v>
      </c>
      <c r="V3457">
        <f t="shared" si="323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ROUND((E3458/D3458)*100, 0)</f>
        <v>191</v>
      </c>
      <c r="P3458" s="8">
        <f t="shared" ref="P3458:P3521" si="325">IFERROR(ROUND(E3458/L3458, 2), 0)</f>
        <v>358.69</v>
      </c>
      <c r="Q3458" s="10" t="s">
        <v>8315</v>
      </c>
      <c r="R3458" s="10" t="s">
        <v>8316</v>
      </c>
      <c r="S3458" s="16">
        <f t="shared" ref="S3458:S3521" si="326">(J3458/60/60/24)+DATE(1970, 1, 1)</f>
        <v>41821.205636574072</v>
      </c>
      <c r="T3458" s="16">
        <f t="shared" ref="T3458:T3521" si="327">(I3458/60/60/24)+DATE(1970, 1, 1)</f>
        <v>41852.290972222225</v>
      </c>
      <c r="U3458">
        <f t="shared" si="322"/>
        <v>31</v>
      </c>
      <c r="V3458">
        <f t="shared" si="323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 s="8">
        <f t="shared" si="325"/>
        <v>50.98</v>
      </c>
      <c r="Q3459" s="10" t="s">
        <v>8315</v>
      </c>
      <c r="R3459" s="10" t="s">
        <v>8316</v>
      </c>
      <c r="S3459" s="16">
        <f t="shared" si="326"/>
        <v>42016.706678240742</v>
      </c>
      <c r="T3459" s="16">
        <f t="shared" si="327"/>
        <v>42047.249305555553</v>
      </c>
      <c r="U3459">
        <f t="shared" ref="U3459:U3522" si="328">ROUND(T3459-S3459, 0)</f>
        <v>31</v>
      </c>
      <c r="V3459">
        <f t="shared" ref="V3459:V3522" si="329">YEAR($S3459)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 s="8">
        <f t="shared" si="325"/>
        <v>45.04</v>
      </c>
      <c r="Q3460" s="10" t="s">
        <v>8315</v>
      </c>
      <c r="R3460" s="10" t="s">
        <v>8316</v>
      </c>
      <c r="S3460" s="16">
        <f t="shared" si="326"/>
        <v>42011.202581018515</v>
      </c>
      <c r="T3460" s="16">
        <f t="shared" si="327"/>
        <v>42038.185416666667</v>
      </c>
      <c r="U3460">
        <f t="shared" si="328"/>
        <v>27</v>
      </c>
      <c r="V3460">
        <f t="shared" si="32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 s="8">
        <f t="shared" si="325"/>
        <v>17.53</v>
      </c>
      <c r="Q3461" s="10" t="s">
        <v>8315</v>
      </c>
      <c r="R3461" s="10" t="s">
        <v>8316</v>
      </c>
      <c r="S3461" s="16">
        <f t="shared" si="326"/>
        <v>42480.479861111111</v>
      </c>
      <c r="T3461" s="16">
        <f t="shared" si="327"/>
        <v>42510.479861111111</v>
      </c>
      <c r="U3461">
        <f t="shared" si="328"/>
        <v>30</v>
      </c>
      <c r="V3461">
        <f t="shared" si="32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 s="8">
        <f t="shared" si="325"/>
        <v>50</v>
      </c>
      <c r="Q3462" s="10" t="s">
        <v>8315</v>
      </c>
      <c r="R3462" s="10" t="s">
        <v>8316</v>
      </c>
      <c r="S3462" s="16">
        <f t="shared" si="326"/>
        <v>41852.527222222219</v>
      </c>
      <c r="T3462" s="16">
        <f t="shared" si="327"/>
        <v>41866.527222222219</v>
      </c>
      <c r="U3462">
        <f t="shared" si="328"/>
        <v>14</v>
      </c>
      <c r="V3462">
        <f t="shared" si="32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 s="8">
        <f t="shared" si="325"/>
        <v>57.92</v>
      </c>
      <c r="Q3463" s="10" t="s">
        <v>8315</v>
      </c>
      <c r="R3463" s="10" t="s">
        <v>8316</v>
      </c>
      <c r="S3463" s="16">
        <f t="shared" si="326"/>
        <v>42643.632858796293</v>
      </c>
      <c r="T3463" s="16">
        <f t="shared" si="327"/>
        <v>42672.125</v>
      </c>
      <c r="U3463">
        <f t="shared" si="328"/>
        <v>28</v>
      </c>
      <c r="V3463">
        <f t="shared" si="329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 s="8">
        <f t="shared" si="325"/>
        <v>29.71</v>
      </c>
      <c r="Q3464" s="10" t="s">
        <v>8315</v>
      </c>
      <c r="R3464" s="10" t="s">
        <v>8316</v>
      </c>
      <c r="S3464" s="16">
        <f t="shared" si="326"/>
        <v>42179.898472222223</v>
      </c>
      <c r="T3464" s="16">
        <f t="shared" si="327"/>
        <v>42195.75</v>
      </c>
      <c r="U3464">
        <f t="shared" si="328"/>
        <v>16</v>
      </c>
      <c r="V3464">
        <f t="shared" si="32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 s="8">
        <f t="shared" si="325"/>
        <v>90.68</v>
      </c>
      <c r="Q3465" s="10" t="s">
        <v>8315</v>
      </c>
      <c r="R3465" s="10" t="s">
        <v>8316</v>
      </c>
      <c r="S3465" s="16">
        <f t="shared" si="326"/>
        <v>42612.918807870374</v>
      </c>
      <c r="T3465" s="16">
        <f t="shared" si="327"/>
        <v>42654.165972222225</v>
      </c>
      <c r="U3465">
        <f t="shared" si="328"/>
        <v>41</v>
      </c>
      <c r="V3465">
        <f t="shared" si="329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 s="8">
        <f t="shared" si="325"/>
        <v>55.01</v>
      </c>
      <c r="Q3466" s="10" t="s">
        <v>8315</v>
      </c>
      <c r="R3466" s="10" t="s">
        <v>8316</v>
      </c>
      <c r="S3466" s="16">
        <f t="shared" si="326"/>
        <v>42575.130057870367</v>
      </c>
      <c r="T3466" s="16">
        <f t="shared" si="327"/>
        <v>42605.130057870367</v>
      </c>
      <c r="U3466">
        <f t="shared" si="328"/>
        <v>30</v>
      </c>
      <c r="V3466">
        <f t="shared" si="32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 s="8">
        <f t="shared" si="325"/>
        <v>57.22</v>
      </c>
      <c r="Q3467" s="10" t="s">
        <v>8315</v>
      </c>
      <c r="R3467" s="10" t="s">
        <v>8316</v>
      </c>
      <c r="S3467" s="16">
        <f t="shared" si="326"/>
        <v>42200.625833333332</v>
      </c>
      <c r="T3467" s="16">
        <f t="shared" si="327"/>
        <v>42225.666666666672</v>
      </c>
      <c r="U3467">
        <f t="shared" si="328"/>
        <v>25</v>
      </c>
      <c r="V3467">
        <f t="shared" si="329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 s="8">
        <f t="shared" si="325"/>
        <v>72.95</v>
      </c>
      <c r="Q3468" s="10" t="s">
        <v>8315</v>
      </c>
      <c r="R3468" s="10" t="s">
        <v>8316</v>
      </c>
      <c r="S3468" s="16">
        <f t="shared" si="326"/>
        <v>42420.019097222219</v>
      </c>
      <c r="T3468" s="16">
        <f t="shared" si="327"/>
        <v>42479.977430555555</v>
      </c>
      <c r="U3468">
        <f t="shared" si="328"/>
        <v>60</v>
      </c>
      <c r="V3468">
        <f t="shared" si="32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 s="8">
        <f t="shared" si="325"/>
        <v>64.47</v>
      </c>
      <c r="Q3469" s="10" t="s">
        <v>8315</v>
      </c>
      <c r="R3469" s="10" t="s">
        <v>8316</v>
      </c>
      <c r="S3469" s="16">
        <f t="shared" si="326"/>
        <v>42053.671666666662</v>
      </c>
      <c r="T3469" s="16">
        <f t="shared" si="327"/>
        <v>42083.630000000005</v>
      </c>
      <c r="U3469">
        <f t="shared" si="328"/>
        <v>30</v>
      </c>
      <c r="V3469">
        <f t="shared" si="329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 s="8">
        <f t="shared" si="325"/>
        <v>716.35</v>
      </c>
      <c r="Q3470" s="10" t="s">
        <v>8315</v>
      </c>
      <c r="R3470" s="10" t="s">
        <v>8316</v>
      </c>
      <c r="S3470" s="16">
        <f t="shared" si="326"/>
        <v>42605.765381944439</v>
      </c>
      <c r="T3470" s="16">
        <f t="shared" si="327"/>
        <v>42634.125</v>
      </c>
      <c r="U3470">
        <f t="shared" si="328"/>
        <v>28</v>
      </c>
      <c r="V3470">
        <f t="shared" si="329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 s="8">
        <f t="shared" si="325"/>
        <v>50.4</v>
      </c>
      <c r="Q3471" s="10" t="s">
        <v>8315</v>
      </c>
      <c r="R3471" s="10" t="s">
        <v>8316</v>
      </c>
      <c r="S3471" s="16">
        <f t="shared" si="326"/>
        <v>42458.641724537039</v>
      </c>
      <c r="T3471" s="16">
        <f t="shared" si="327"/>
        <v>42488.641724537039</v>
      </c>
      <c r="U3471">
        <f t="shared" si="328"/>
        <v>30</v>
      </c>
      <c r="V3471">
        <f t="shared" si="32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 s="8">
        <f t="shared" si="325"/>
        <v>41.67</v>
      </c>
      <c r="Q3472" s="10" t="s">
        <v>8315</v>
      </c>
      <c r="R3472" s="10" t="s">
        <v>8316</v>
      </c>
      <c r="S3472" s="16">
        <f t="shared" si="326"/>
        <v>42529.022013888884</v>
      </c>
      <c r="T3472" s="16">
        <f t="shared" si="327"/>
        <v>42566.901388888888</v>
      </c>
      <c r="U3472">
        <f t="shared" si="328"/>
        <v>38</v>
      </c>
      <c r="V3472">
        <f t="shared" si="32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 s="8">
        <f t="shared" si="325"/>
        <v>35.770000000000003</v>
      </c>
      <c r="Q3473" s="10" t="s">
        <v>8315</v>
      </c>
      <c r="R3473" s="10" t="s">
        <v>8316</v>
      </c>
      <c r="S3473" s="16">
        <f t="shared" si="326"/>
        <v>41841.820486111108</v>
      </c>
      <c r="T3473" s="16">
        <f t="shared" si="327"/>
        <v>41882.833333333336</v>
      </c>
      <c r="U3473">
        <f t="shared" si="328"/>
        <v>41</v>
      </c>
      <c r="V3473">
        <f t="shared" si="32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 s="8">
        <f t="shared" si="325"/>
        <v>88.74</v>
      </c>
      <c r="Q3474" s="10" t="s">
        <v>8315</v>
      </c>
      <c r="R3474" s="10" t="s">
        <v>8316</v>
      </c>
      <c r="S3474" s="16">
        <f t="shared" si="326"/>
        <v>41928.170497685183</v>
      </c>
      <c r="T3474" s="16">
        <f t="shared" si="327"/>
        <v>41949.249305555553</v>
      </c>
      <c r="U3474">
        <f t="shared" si="328"/>
        <v>21</v>
      </c>
      <c r="V3474">
        <f t="shared" si="32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 s="8">
        <f t="shared" si="325"/>
        <v>148.47999999999999</v>
      </c>
      <c r="Q3475" s="10" t="s">
        <v>8315</v>
      </c>
      <c r="R3475" s="10" t="s">
        <v>8316</v>
      </c>
      <c r="S3475" s="16">
        <f t="shared" si="326"/>
        <v>42062.834444444445</v>
      </c>
      <c r="T3475" s="16">
        <f t="shared" si="327"/>
        <v>42083.852083333331</v>
      </c>
      <c r="U3475">
        <f t="shared" si="328"/>
        <v>21</v>
      </c>
      <c r="V3475">
        <f t="shared" si="32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 s="8">
        <f t="shared" si="325"/>
        <v>51.79</v>
      </c>
      <c r="Q3476" s="10" t="s">
        <v>8315</v>
      </c>
      <c r="R3476" s="10" t="s">
        <v>8316</v>
      </c>
      <c r="S3476" s="16">
        <f t="shared" si="326"/>
        <v>42541.501516203702</v>
      </c>
      <c r="T3476" s="16">
        <f t="shared" si="327"/>
        <v>42571.501516203702</v>
      </c>
      <c r="U3476">
        <f t="shared" si="328"/>
        <v>30</v>
      </c>
      <c r="V3476">
        <f t="shared" si="32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 s="8">
        <f t="shared" si="325"/>
        <v>20</v>
      </c>
      <c r="Q3477" s="10" t="s">
        <v>8315</v>
      </c>
      <c r="R3477" s="10" t="s">
        <v>8316</v>
      </c>
      <c r="S3477" s="16">
        <f t="shared" si="326"/>
        <v>41918.880833333329</v>
      </c>
      <c r="T3477" s="16">
        <f t="shared" si="327"/>
        <v>41946</v>
      </c>
      <c r="U3477">
        <f t="shared" si="328"/>
        <v>27</v>
      </c>
      <c r="V3477">
        <f t="shared" si="32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 s="8">
        <f t="shared" si="325"/>
        <v>52</v>
      </c>
      <c r="Q3478" s="10" t="s">
        <v>8315</v>
      </c>
      <c r="R3478" s="10" t="s">
        <v>8316</v>
      </c>
      <c r="S3478" s="16">
        <f t="shared" si="326"/>
        <v>41921.279976851853</v>
      </c>
      <c r="T3478" s="16">
        <f t="shared" si="327"/>
        <v>41939.125</v>
      </c>
      <c r="U3478">
        <f t="shared" si="328"/>
        <v>18</v>
      </c>
      <c r="V3478">
        <f t="shared" si="32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 s="8">
        <f t="shared" si="325"/>
        <v>53.23</v>
      </c>
      <c r="Q3479" s="10" t="s">
        <v>8315</v>
      </c>
      <c r="R3479" s="10" t="s">
        <v>8316</v>
      </c>
      <c r="S3479" s="16">
        <f t="shared" si="326"/>
        <v>42128.736608796295</v>
      </c>
      <c r="T3479" s="16">
        <f t="shared" si="327"/>
        <v>42141.125</v>
      </c>
      <c r="U3479">
        <f t="shared" si="328"/>
        <v>12</v>
      </c>
      <c r="V3479">
        <f t="shared" si="32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 s="8">
        <f t="shared" si="325"/>
        <v>39.6</v>
      </c>
      <c r="Q3480" s="10" t="s">
        <v>8315</v>
      </c>
      <c r="R3480" s="10" t="s">
        <v>8316</v>
      </c>
      <c r="S3480" s="16">
        <f t="shared" si="326"/>
        <v>42053.916921296302</v>
      </c>
      <c r="T3480" s="16">
        <f t="shared" si="327"/>
        <v>42079.875</v>
      </c>
      <c r="U3480">
        <f t="shared" si="328"/>
        <v>26</v>
      </c>
      <c r="V3480">
        <f t="shared" si="32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 s="8">
        <f t="shared" si="325"/>
        <v>34.25</v>
      </c>
      <c r="Q3481" s="10" t="s">
        <v>8315</v>
      </c>
      <c r="R3481" s="10" t="s">
        <v>8316</v>
      </c>
      <c r="S3481" s="16">
        <f t="shared" si="326"/>
        <v>41781.855092592588</v>
      </c>
      <c r="T3481" s="16">
        <f t="shared" si="327"/>
        <v>41811.855092592588</v>
      </c>
      <c r="U3481">
        <f t="shared" si="328"/>
        <v>30</v>
      </c>
      <c r="V3481">
        <f t="shared" si="32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 s="8">
        <f t="shared" si="325"/>
        <v>164.62</v>
      </c>
      <c r="Q3482" s="10" t="s">
        <v>8315</v>
      </c>
      <c r="R3482" s="10" t="s">
        <v>8316</v>
      </c>
      <c r="S3482" s="16">
        <f t="shared" si="326"/>
        <v>42171.317442129628</v>
      </c>
      <c r="T3482" s="16">
        <f t="shared" si="327"/>
        <v>42195.875</v>
      </c>
      <c r="U3482">
        <f t="shared" si="328"/>
        <v>25</v>
      </c>
      <c r="V3482">
        <f t="shared" si="32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 s="8">
        <f t="shared" si="325"/>
        <v>125.05</v>
      </c>
      <c r="Q3483" s="10" t="s">
        <v>8315</v>
      </c>
      <c r="R3483" s="10" t="s">
        <v>8316</v>
      </c>
      <c r="S3483" s="16">
        <f t="shared" si="326"/>
        <v>41989.24754629629</v>
      </c>
      <c r="T3483" s="16">
        <f t="shared" si="327"/>
        <v>42006.24754629629</v>
      </c>
      <c r="U3483">
        <f t="shared" si="328"/>
        <v>17</v>
      </c>
      <c r="V3483">
        <f t="shared" si="329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 s="8">
        <f t="shared" si="325"/>
        <v>51.88</v>
      </c>
      <c r="Q3484" s="10" t="s">
        <v>8315</v>
      </c>
      <c r="R3484" s="10" t="s">
        <v>8316</v>
      </c>
      <c r="S3484" s="16">
        <f t="shared" si="326"/>
        <v>41796.771597222221</v>
      </c>
      <c r="T3484" s="16">
        <f t="shared" si="327"/>
        <v>41826.771597222221</v>
      </c>
      <c r="U3484">
        <f t="shared" si="328"/>
        <v>30</v>
      </c>
      <c r="V3484">
        <f t="shared" si="32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 s="8">
        <f t="shared" si="325"/>
        <v>40.29</v>
      </c>
      <c r="Q3485" s="10" t="s">
        <v>8315</v>
      </c>
      <c r="R3485" s="10" t="s">
        <v>8316</v>
      </c>
      <c r="S3485" s="16">
        <f t="shared" si="326"/>
        <v>41793.668761574074</v>
      </c>
      <c r="T3485" s="16">
        <f t="shared" si="327"/>
        <v>41823.668761574074</v>
      </c>
      <c r="U3485">
        <f t="shared" si="328"/>
        <v>30</v>
      </c>
      <c r="V3485">
        <f t="shared" si="329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 s="8">
        <f t="shared" si="325"/>
        <v>64.91</v>
      </c>
      <c r="Q3486" s="10" t="s">
        <v>8315</v>
      </c>
      <c r="R3486" s="10" t="s">
        <v>8316</v>
      </c>
      <c r="S3486" s="16">
        <f t="shared" si="326"/>
        <v>42506.760405092587</v>
      </c>
      <c r="T3486" s="16">
        <f t="shared" si="327"/>
        <v>42536.760405092587</v>
      </c>
      <c r="U3486">
        <f t="shared" si="328"/>
        <v>30</v>
      </c>
      <c r="V3486">
        <f t="shared" si="32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 s="8">
        <f t="shared" si="325"/>
        <v>55.33</v>
      </c>
      <c r="Q3487" s="10" t="s">
        <v>8315</v>
      </c>
      <c r="R3487" s="10" t="s">
        <v>8316</v>
      </c>
      <c r="S3487" s="16">
        <f t="shared" si="326"/>
        <v>42372.693055555559</v>
      </c>
      <c r="T3487" s="16">
        <f t="shared" si="327"/>
        <v>42402.693055555559</v>
      </c>
      <c r="U3487">
        <f t="shared" si="328"/>
        <v>30</v>
      </c>
      <c r="V3487">
        <f t="shared" si="32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 s="8">
        <f t="shared" si="325"/>
        <v>83.14</v>
      </c>
      <c r="Q3488" s="10" t="s">
        <v>8315</v>
      </c>
      <c r="R3488" s="10" t="s">
        <v>8316</v>
      </c>
      <c r="S3488" s="16">
        <f t="shared" si="326"/>
        <v>42126.87501157407</v>
      </c>
      <c r="T3488" s="16">
        <f t="shared" si="327"/>
        <v>42158.290972222225</v>
      </c>
      <c r="U3488">
        <f t="shared" si="328"/>
        <v>31</v>
      </c>
      <c r="V3488">
        <f t="shared" si="32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 s="8">
        <f t="shared" si="325"/>
        <v>38.71</v>
      </c>
      <c r="Q3489" s="10" t="s">
        <v>8315</v>
      </c>
      <c r="R3489" s="10" t="s">
        <v>8316</v>
      </c>
      <c r="S3489" s="16">
        <f t="shared" si="326"/>
        <v>42149.940416666665</v>
      </c>
      <c r="T3489" s="16">
        <f t="shared" si="327"/>
        <v>42179.940416666665</v>
      </c>
      <c r="U3489">
        <f t="shared" si="328"/>
        <v>30</v>
      </c>
      <c r="V3489">
        <f t="shared" si="329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 s="8">
        <f t="shared" si="325"/>
        <v>125.38</v>
      </c>
      <c r="Q3490" s="10" t="s">
        <v>8315</v>
      </c>
      <c r="R3490" s="10" t="s">
        <v>8316</v>
      </c>
      <c r="S3490" s="16">
        <f t="shared" si="326"/>
        <v>42087.768055555556</v>
      </c>
      <c r="T3490" s="16">
        <f t="shared" si="327"/>
        <v>42111.666666666672</v>
      </c>
      <c r="U3490">
        <f t="shared" si="328"/>
        <v>24</v>
      </c>
      <c r="V3490">
        <f t="shared" si="32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 s="8">
        <f t="shared" si="325"/>
        <v>78.260000000000005</v>
      </c>
      <c r="Q3491" s="10" t="s">
        <v>8315</v>
      </c>
      <c r="R3491" s="10" t="s">
        <v>8316</v>
      </c>
      <c r="S3491" s="16">
        <f t="shared" si="326"/>
        <v>41753.635775462964</v>
      </c>
      <c r="T3491" s="16">
        <f t="shared" si="327"/>
        <v>41783.875</v>
      </c>
      <c r="U3491">
        <f t="shared" si="328"/>
        <v>30</v>
      </c>
      <c r="V3491">
        <f t="shared" si="32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 s="8">
        <f t="shared" si="325"/>
        <v>47.22</v>
      </c>
      <c r="Q3492" s="10" t="s">
        <v>8315</v>
      </c>
      <c r="R3492" s="10" t="s">
        <v>8316</v>
      </c>
      <c r="S3492" s="16">
        <f t="shared" si="326"/>
        <v>42443.802361111113</v>
      </c>
      <c r="T3492" s="16">
        <f t="shared" si="327"/>
        <v>42473.802361111113</v>
      </c>
      <c r="U3492">
        <f t="shared" si="328"/>
        <v>30</v>
      </c>
      <c r="V3492">
        <f t="shared" si="32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 s="8">
        <f t="shared" si="325"/>
        <v>79.099999999999994</v>
      </c>
      <c r="Q3493" s="10" t="s">
        <v>8315</v>
      </c>
      <c r="R3493" s="10" t="s">
        <v>8316</v>
      </c>
      <c r="S3493" s="16">
        <f t="shared" si="326"/>
        <v>42121.249814814815</v>
      </c>
      <c r="T3493" s="16">
        <f t="shared" si="327"/>
        <v>42142.249814814815</v>
      </c>
      <c r="U3493">
        <f t="shared" si="328"/>
        <v>21</v>
      </c>
      <c r="V3493">
        <f t="shared" si="32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 s="8">
        <f t="shared" si="325"/>
        <v>114.29</v>
      </c>
      <c r="Q3494" s="10" t="s">
        <v>8315</v>
      </c>
      <c r="R3494" s="10" t="s">
        <v>8316</v>
      </c>
      <c r="S3494" s="16">
        <f t="shared" si="326"/>
        <v>42268.009224537032</v>
      </c>
      <c r="T3494" s="16">
        <f t="shared" si="327"/>
        <v>42303.009224537032</v>
      </c>
      <c r="U3494">
        <f t="shared" si="328"/>
        <v>35</v>
      </c>
      <c r="V3494">
        <f t="shared" si="32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 s="8">
        <f t="shared" si="325"/>
        <v>51.72</v>
      </c>
      <c r="Q3495" s="10" t="s">
        <v>8315</v>
      </c>
      <c r="R3495" s="10" t="s">
        <v>8316</v>
      </c>
      <c r="S3495" s="16">
        <f t="shared" si="326"/>
        <v>41848.866157407407</v>
      </c>
      <c r="T3495" s="16">
        <f t="shared" si="327"/>
        <v>41868.21597222222</v>
      </c>
      <c r="U3495">
        <f t="shared" si="328"/>
        <v>19</v>
      </c>
      <c r="V3495">
        <f t="shared" si="32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 s="8">
        <f t="shared" si="325"/>
        <v>30.77</v>
      </c>
      <c r="Q3496" s="10" t="s">
        <v>8315</v>
      </c>
      <c r="R3496" s="10" t="s">
        <v>8316</v>
      </c>
      <c r="S3496" s="16">
        <f t="shared" si="326"/>
        <v>42689.214988425927</v>
      </c>
      <c r="T3496" s="16">
        <f t="shared" si="327"/>
        <v>42700.25</v>
      </c>
      <c r="U3496">
        <f t="shared" si="328"/>
        <v>11</v>
      </c>
      <c r="V3496">
        <f t="shared" si="32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 s="8">
        <f t="shared" si="325"/>
        <v>74.209999999999994</v>
      </c>
      <c r="Q3497" s="10" t="s">
        <v>8315</v>
      </c>
      <c r="R3497" s="10" t="s">
        <v>8316</v>
      </c>
      <c r="S3497" s="16">
        <f t="shared" si="326"/>
        <v>41915.762835648151</v>
      </c>
      <c r="T3497" s="16">
        <f t="shared" si="327"/>
        <v>41944.720833333333</v>
      </c>
      <c r="U3497">
        <f t="shared" si="328"/>
        <v>29</v>
      </c>
      <c r="V3497">
        <f t="shared" si="329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 s="8">
        <f t="shared" si="325"/>
        <v>47.85</v>
      </c>
      <c r="Q3498" s="10" t="s">
        <v>8315</v>
      </c>
      <c r="R3498" s="10" t="s">
        <v>8316</v>
      </c>
      <c r="S3498" s="16">
        <f t="shared" si="326"/>
        <v>42584.846828703703</v>
      </c>
      <c r="T3498" s="16">
        <f t="shared" si="327"/>
        <v>42624.846828703703</v>
      </c>
      <c r="U3498">
        <f t="shared" si="328"/>
        <v>40</v>
      </c>
      <c r="V3498">
        <f t="shared" si="329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 s="8">
        <f t="shared" si="325"/>
        <v>34.409999999999997</v>
      </c>
      <c r="Q3499" s="10" t="s">
        <v>8315</v>
      </c>
      <c r="R3499" s="10" t="s">
        <v>8316</v>
      </c>
      <c r="S3499" s="16">
        <f t="shared" si="326"/>
        <v>42511.741944444439</v>
      </c>
      <c r="T3499" s="16">
        <f t="shared" si="327"/>
        <v>42523.916666666672</v>
      </c>
      <c r="U3499">
        <f t="shared" si="328"/>
        <v>12</v>
      </c>
      <c r="V3499">
        <f t="shared" si="329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 s="8">
        <f t="shared" si="325"/>
        <v>40.24</v>
      </c>
      <c r="Q3500" s="10" t="s">
        <v>8315</v>
      </c>
      <c r="R3500" s="10" t="s">
        <v>8316</v>
      </c>
      <c r="S3500" s="16">
        <f t="shared" si="326"/>
        <v>42459.15861111111</v>
      </c>
      <c r="T3500" s="16">
        <f t="shared" si="327"/>
        <v>42518.905555555553</v>
      </c>
      <c r="U3500">
        <f t="shared" si="328"/>
        <v>60</v>
      </c>
      <c r="V3500">
        <f t="shared" si="32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 s="8">
        <f t="shared" si="325"/>
        <v>60.29</v>
      </c>
      <c r="Q3501" s="10" t="s">
        <v>8315</v>
      </c>
      <c r="R3501" s="10" t="s">
        <v>8316</v>
      </c>
      <c r="S3501" s="16">
        <f t="shared" si="326"/>
        <v>42132.036168981482</v>
      </c>
      <c r="T3501" s="16">
        <f t="shared" si="327"/>
        <v>42186.290972222225</v>
      </c>
      <c r="U3501">
        <f t="shared" si="328"/>
        <v>54</v>
      </c>
      <c r="V3501">
        <f t="shared" si="329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 s="8">
        <f t="shared" si="325"/>
        <v>25.31</v>
      </c>
      <c r="Q3502" s="10" t="s">
        <v>8315</v>
      </c>
      <c r="R3502" s="10" t="s">
        <v>8316</v>
      </c>
      <c r="S3502" s="16">
        <f t="shared" si="326"/>
        <v>42419.91942129629</v>
      </c>
      <c r="T3502" s="16">
        <f t="shared" si="327"/>
        <v>42436.207638888889</v>
      </c>
      <c r="U3502">
        <f t="shared" si="328"/>
        <v>16</v>
      </c>
      <c r="V3502">
        <f t="shared" si="32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 s="8">
        <f t="shared" si="325"/>
        <v>35.950000000000003</v>
      </c>
      <c r="Q3503" s="10" t="s">
        <v>8315</v>
      </c>
      <c r="R3503" s="10" t="s">
        <v>8316</v>
      </c>
      <c r="S3503" s="16">
        <f t="shared" si="326"/>
        <v>42233.763831018514</v>
      </c>
      <c r="T3503" s="16">
        <f t="shared" si="327"/>
        <v>42258.763831018514</v>
      </c>
      <c r="U3503">
        <f t="shared" si="328"/>
        <v>25</v>
      </c>
      <c r="V3503">
        <f t="shared" si="32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 s="8">
        <f t="shared" si="325"/>
        <v>136</v>
      </c>
      <c r="Q3504" s="10" t="s">
        <v>8315</v>
      </c>
      <c r="R3504" s="10" t="s">
        <v>8316</v>
      </c>
      <c r="S3504" s="16">
        <f t="shared" si="326"/>
        <v>42430.839398148149</v>
      </c>
      <c r="T3504" s="16">
        <f t="shared" si="327"/>
        <v>42445.165972222225</v>
      </c>
      <c r="U3504">
        <f t="shared" si="328"/>
        <v>14</v>
      </c>
      <c r="V3504">
        <f t="shared" si="32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 s="8">
        <f t="shared" si="325"/>
        <v>70.760000000000005</v>
      </c>
      <c r="Q3505" s="10" t="s">
        <v>8315</v>
      </c>
      <c r="R3505" s="10" t="s">
        <v>8316</v>
      </c>
      <c r="S3505" s="16">
        <f t="shared" si="326"/>
        <v>42545.478333333333</v>
      </c>
      <c r="T3505" s="16">
        <f t="shared" si="327"/>
        <v>42575.478333333333</v>
      </c>
      <c r="U3505">
        <f t="shared" si="328"/>
        <v>30</v>
      </c>
      <c r="V3505">
        <f t="shared" si="32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 s="8">
        <f t="shared" si="325"/>
        <v>125</v>
      </c>
      <c r="Q3506" s="10" t="s">
        <v>8315</v>
      </c>
      <c r="R3506" s="10" t="s">
        <v>8316</v>
      </c>
      <c r="S3506" s="16">
        <f t="shared" si="326"/>
        <v>42297.748738425929</v>
      </c>
      <c r="T3506" s="16">
        <f t="shared" si="327"/>
        <v>42327.790405092594</v>
      </c>
      <c r="U3506">
        <f t="shared" si="328"/>
        <v>30</v>
      </c>
      <c r="V3506">
        <f t="shared" si="32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 s="8">
        <f t="shared" si="325"/>
        <v>66.510000000000005</v>
      </c>
      <c r="Q3507" s="10" t="s">
        <v>8315</v>
      </c>
      <c r="R3507" s="10" t="s">
        <v>8316</v>
      </c>
      <c r="S3507" s="16">
        <f t="shared" si="326"/>
        <v>41760.935706018521</v>
      </c>
      <c r="T3507" s="16">
        <f t="shared" si="327"/>
        <v>41772.166666666664</v>
      </c>
      <c r="U3507">
        <f t="shared" si="328"/>
        <v>11</v>
      </c>
      <c r="V3507">
        <f t="shared" si="32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 s="8">
        <f t="shared" si="325"/>
        <v>105</v>
      </c>
      <c r="Q3508" s="10" t="s">
        <v>8315</v>
      </c>
      <c r="R3508" s="10" t="s">
        <v>8316</v>
      </c>
      <c r="S3508" s="16">
        <f t="shared" si="326"/>
        <v>41829.734259259261</v>
      </c>
      <c r="T3508" s="16">
        <f t="shared" si="327"/>
        <v>41874.734259259261</v>
      </c>
      <c r="U3508">
        <f t="shared" si="328"/>
        <v>45</v>
      </c>
      <c r="V3508">
        <f t="shared" si="329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 s="8">
        <f t="shared" si="325"/>
        <v>145</v>
      </c>
      <c r="Q3509" s="10" t="s">
        <v>8315</v>
      </c>
      <c r="R3509" s="10" t="s">
        <v>8316</v>
      </c>
      <c r="S3509" s="16">
        <f t="shared" si="326"/>
        <v>42491.92288194444</v>
      </c>
      <c r="T3509" s="16">
        <f t="shared" si="327"/>
        <v>42521.92288194444</v>
      </c>
      <c r="U3509">
        <f t="shared" si="328"/>
        <v>30</v>
      </c>
      <c r="V3509">
        <f t="shared" si="32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 s="8">
        <f t="shared" si="325"/>
        <v>12</v>
      </c>
      <c r="Q3510" s="10" t="s">
        <v>8315</v>
      </c>
      <c r="R3510" s="10" t="s">
        <v>8316</v>
      </c>
      <c r="S3510" s="16">
        <f t="shared" si="326"/>
        <v>42477.729780092588</v>
      </c>
      <c r="T3510" s="16">
        <f t="shared" si="327"/>
        <v>42500.875</v>
      </c>
      <c r="U3510">
        <f t="shared" si="328"/>
        <v>23</v>
      </c>
      <c r="V3510">
        <f t="shared" si="32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 s="8">
        <f t="shared" si="325"/>
        <v>96.67</v>
      </c>
      <c r="Q3511" s="10" t="s">
        <v>8315</v>
      </c>
      <c r="R3511" s="10" t="s">
        <v>8316</v>
      </c>
      <c r="S3511" s="16">
        <f t="shared" si="326"/>
        <v>41950.859560185185</v>
      </c>
      <c r="T3511" s="16">
        <f t="shared" si="327"/>
        <v>41964.204861111109</v>
      </c>
      <c r="U3511">
        <f t="shared" si="328"/>
        <v>13</v>
      </c>
      <c r="V3511">
        <f t="shared" si="329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 s="8">
        <f t="shared" si="325"/>
        <v>60.33</v>
      </c>
      <c r="Q3512" s="10" t="s">
        <v>8315</v>
      </c>
      <c r="R3512" s="10" t="s">
        <v>8316</v>
      </c>
      <c r="S3512" s="16">
        <f t="shared" si="326"/>
        <v>41802.62090277778</v>
      </c>
      <c r="T3512" s="16">
        <f t="shared" si="327"/>
        <v>41822.62090277778</v>
      </c>
      <c r="U3512">
        <f t="shared" si="328"/>
        <v>20</v>
      </c>
      <c r="V3512">
        <f t="shared" si="329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 s="8">
        <f t="shared" si="325"/>
        <v>79.89</v>
      </c>
      <c r="Q3513" s="10" t="s">
        <v>8315</v>
      </c>
      <c r="R3513" s="10" t="s">
        <v>8316</v>
      </c>
      <c r="S3513" s="16">
        <f t="shared" si="326"/>
        <v>41927.873784722222</v>
      </c>
      <c r="T3513" s="16">
        <f t="shared" si="327"/>
        <v>41950.770833333336</v>
      </c>
      <c r="U3513">
        <f t="shared" si="328"/>
        <v>23</v>
      </c>
      <c r="V3513">
        <f t="shared" si="32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 s="8">
        <f t="shared" si="325"/>
        <v>58.82</v>
      </c>
      <c r="Q3514" s="10" t="s">
        <v>8315</v>
      </c>
      <c r="R3514" s="10" t="s">
        <v>8316</v>
      </c>
      <c r="S3514" s="16">
        <f t="shared" si="326"/>
        <v>42057.536944444444</v>
      </c>
      <c r="T3514" s="16">
        <f t="shared" si="327"/>
        <v>42117.49527777778</v>
      </c>
      <c r="U3514">
        <f t="shared" si="328"/>
        <v>60</v>
      </c>
      <c r="V3514">
        <f t="shared" si="32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 s="8">
        <f t="shared" si="325"/>
        <v>75.34</v>
      </c>
      <c r="Q3515" s="10" t="s">
        <v>8315</v>
      </c>
      <c r="R3515" s="10" t="s">
        <v>8316</v>
      </c>
      <c r="S3515" s="16">
        <f t="shared" si="326"/>
        <v>41781.096203703702</v>
      </c>
      <c r="T3515" s="16">
        <f t="shared" si="327"/>
        <v>41794.207638888889</v>
      </c>
      <c r="U3515">
        <f t="shared" si="328"/>
        <v>13</v>
      </c>
      <c r="V3515">
        <f t="shared" si="32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 s="8">
        <f t="shared" si="325"/>
        <v>55</v>
      </c>
      <c r="Q3516" s="10" t="s">
        <v>8315</v>
      </c>
      <c r="R3516" s="10" t="s">
        <v>8316</v>
      </c>
      <c r="S3516" s="16">
        <f t="shared" si="326"/>
        <v>42020.846666666665</v>
      </c>
      <c r="T3516" s="16">
        <f t="shared" si="327"/>
        <v>42037.207638888889</v>
      </c>
      <c r="U3516">
        <f t="shared" si="328"/>
        <v>16</v>
      </c>
      <c r="V3516">
        <f t="shared" si="32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 s="8">
        <f t="shared" si="325"/>
        <v>66.959999999999994</v>
      </c>
      <c r="Q3517" s="10" t="s">
        <v>8315</v>
      </c>
      <c r="R3517" s="10" t="s">
        <v>8316</v>
      </c>
      <c r="S3517" s="16">
        <f t="shared" si="326"/>
        <v>42125.772812499999</v>
      </c>
      <c r="T3517" s="16">
        <f t="shared" si="327"/>
        <v>42155.772812499999</v>
      </c>
      <c r="U3517">
        <f t="shared" si="328"/>
        <v>30</v>
      </c>
      <c r="V3517">
        <f t="shared" si="32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 s="8">
        <f t="shared" si="325"/>
        <v>227.27</v>
      </c>
      <c r="Q3518" s="10" t="s">
        <v>8315</v>
      </c>
      <c r="R3518" s="10" t="s">
        <v>8316</v>
      </c>
      <c r="S3518" s="16">
        <f t="shared" si="326"/>
        <v>41856.010069444441</v>
      </c>
      <c r="T3518" s="16">
        <f t="shared" si="327"/>
        <v>41890.125</v>
      </c>
      <c r="U3518">
        <f t="shared" si="328"/>
        <v>34</v>
      </c>
      <c r="V3518">
        <f t="shared" si="32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 s="8">
        <f t="shared" si="325"/>
        <v>307.69</v>
      </c>
      <c r="Q3519" s="10" t="s">
        <v>8315</v>
      </c>
      <c r="R3519" s="10" t="s">
        <v>8316</v>
      </c>
      <c r="S3519" s="16">
        <f t="shared" si="326"/>
        <v>41794.817523148151</v>
      </c>
      <c r="T3519" s="16">
        <f t="shared" si="327"/>
        <v>41824.458333333336</v>
      </c>
      <c r="U3519">
        <f t="shared" si="328"/>
        <v>30</v>
      </c>
      <c r="V3519">
        <f t="shared" si="32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 s="8">
        <f t="shared" si="325"/>
        <v>50.02</v>
      </c>
      <c r="Q3520" s="10" t="s">
        <v>8315</v>
      </c>
      <c r="R3520" s="10" t="s">
        <v>8316</v>
      </c>
      <c r="S3520" s="16">
        <f t="shared" si="326"/>
        <v>41893.783553240741</v>
      </c>
      <c r="T3520" s="16">
        <f t="shared" si="327"/>
        <v>41914.597916666666</v>
      </c>
      <c r="U3520">
        <f t="shared" si="328"/>
        <v>21</v>
      </c>
      <c r="V3520">
        <f t="shared" si="329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 s="8">
        <f t="shared" si="325"/>
        <v>72.39</v>
      </c>
      <c r="Q3521" s="10" t="s">
        <v>8315</v>
      </c>
      <c r="R3521" s="10" t="s">
        <v>8316</v>
      </c>
      <c r="S3521" s="16">
        <f t="shared" si="326"/>
        <v>42037.598958333328</v>
      </c>
      <c r="T3521" s="16">
        <f t="shared" si="327"/>
        <v>42067.598958333328</v>
      </c>
      <c r="U3521">
        <f t="shared" si="328"/>
        <v>30</v>
      </c>
      <c r="V3521">
        <f t="shared" si="329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ROUND((E3522/D3522)*100, 0)</f>
        <v>101</v>
      </c>
      <c r="P3522" s="8">
        <f t="shared" ref="P3522:P3585" si="331">IFERROR(ROUND(E3522/L3522, 2), 0)</f>
        <v>95.95</v>
      </c>
      <c r="Q3522" s="10" t="s">
        <v>8315</v>
      </c>
      <c r="R3522" s="10" t="s">
        <v>8316</v>
      </c>
      <c r="S3522" s="16">
        <f t="shared" ref="S3522:S3585" si="332">(J3522/60/60/24)+DATE(1970, 1, 1)</f>
        <v>42227.824212962965</v>
      </c>
      <c r="T3522" s="16">
        <f t="shared" ref="T3522:T3585" si="333">(I3522/60/60/24)+DATE(1970, 1, 1)</f>
        <v>42253.57430555555</v>
      </c>
      <c r="U3522">
        <f t="shared" si="328"/>
        <v>26</v>
      </c>
      <c r="V3522">
        <f t="shared" si="329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 s="8">
        <f t="shared" si="331"/>
        <v>45.62</v>
      </c>
      <c r="Q3523" s="10" t="s">
        <v>8315</v>
      </c>
      <c r="R3523" s="10" t="s">
        <v>8316</v>
      </c>
      <c r="S3523" s="16">
        <f t="shared" si="332"/>
        <v>41881.361342592594</v>
      </c>
      <c r="T3523" s="16">
        <f t="shared" si="333"/>
        <v>41911.361342592594</v>
      </c>
      <c r="U3523">
        <f t="shared" ref="U3523:U3586" si="334">ROUND(T3523-S3523, 0)</f>
        <v>30</v>
      </c>
      <c r="V3523">
        <f t="shared" ref="V3523:V3586" si="335">YEAR($S3523)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 s="8">
        <f t="shared" si="331"/>
        <v>41.03</v>
      </c>
      <c r="Q3524" s="10" t="s">
        <v>8315</v>
      </c>
      <c r="R3524" s="10" t="s">
        <v>8316</v>
      </c>
      <c r="S3524" s="16">
        <f t="shared" si="332"/>
        <v>42234.789884259255</v>
      </c>
      <c r="T3524" s="16">
        <f t="shared" si="333"/>
        <v>42262.420833333337</v>
      </c>
      <c r="U3524">
        <f t="shared" si="334"/>
        <v>28</v>
      </c>
      <c r="V3524">
        <f t="shared" si="335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 s="8">
        <f t="shared" si="331"/>
        <v>56.83</v>
      </c>
      <c r="Q3525" s="10" t="s">
        <v>8315</v>
      </c>
      <c r="R3525" s="10" t="s">
        <v>8316</v>
      </c>
      <c r="S3525" s="16">
        <f t="shared" si="332"/>
        <v>42581.397546296299</v>
      </c>
      <c r="T3525" s="16">
        <f t="shared" si="333"/>
        <v>42638.958333333328</v>
      </c>
      <c r="U3525">
        <f t="shared" si="334"/>
        <v>58</v>
      </c>
      <c r="V3525">
        <f t="shared" si="335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 s="8">
        <f t="shared" si="331"/>
        <v>137.24</v>
      </c>
      <c r="Q3526" s="10" t="s">
        <v>8315</v>
      </c>
      <c r="R3526" s="10" t="s">
        <v>8316</v>
      </c>
      <c r="S3526" s="16">
        <f t="shared" si="332"/>
        <v>41880.76357638889</v>
      </c>
      <c r="T3526" s="16">
        <f t="shared" si="333"/>
        <v>41895.166666666664</v>
      </c>
      <c r="U3526">
        <f t="shared" si="334"/>
        <v>14</v>
      </c>
      <c r="V3526">
        <f t="shared" si="335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 s="8">
        <f t="shared" si="331"/>
        <v>75.709999999999994</v>
      </c>
      <c r="Q3527" s="10" t="s">
        <v>8315</v>
      </c>
      <c r="R3527" s="10" t="s">
        <v>8316</v>
      </c>
      <c r="S3527" s="16">
        <f t="shared" si="332"/>
        <v>42214.6956712963</v>
      </c>
      <c r="T3527" s="16">
        <f t="shared" si="333"/>
        <v>42225.666666666672</v>
      </c>
      <c r="U3527">
        <f t="shared" si="334"/>
        <v>11</v>
      </c>
      <c r="V3527">
        <f t="shared" si="335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 s="8">
        <f t="shared" si="331"/>
        <v>99</v>
      </c>
      <c r="Q3528" s="10" t="s">
        <v>8315</v>
      </c>
      <c r="R3528" s="10" t="s">
        <v>8316</v>
      </c>
      <c r="S3528" s="16">
        <f t="shared" si="332"/>
        <v>42460.335312499999</v>
      </c>
      <c r="T3528" s="16">
        <f t="shared" si="333"/>
        <v>42488.249305555553</v>
      </c>
      <c r="U3528">
        <f t="shared" si="334"/>
        <v>28</v>
      </c>
      <c r="V3528">
        <f t="shared" si="335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 s="8">
        <f t="shared" si="331"/>
        <v>81.569999999999993</v>
      </c>
      <c r="Q3529" s="10" t="s">
        <v>8315</v>
      </c>
      <c r="R3529" s="10" t="s">
        <v>8316</v>
      </c>
      <c r="S3529" s="16">
        <f t="shared" si="332"/>
        <v>42167.023206018523</v>
      </c>
      <c r="T3529" s="16">
        <f t="shared" si="333"/>
        <v>42196.165972222225</v>
      </c>
      <c r="U3529">
        <f t="shared" si="334"/>
        <v>29</v>
      </c>
      <c r="V3529">
        <f t="shared" si="335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 s="8">
        <f t="shared" si="331"/>
        <v>45.11</v>
      </c>
      <c r="Q3530" s="10" t="s">
        <v>8315</v>
      </c>
      <c r="R3530" s="10" t="s">
        <v>8316</v>
      </c>
      <c r="S3530" s="16">
        <f t="shared" si="332"/>
        <v>42733.50136574074</v>
      </c>
      <c r="T3530" s="16">
        <f t="shared" si="333"/>
        <v>42753.50136574074</v>
      </c>
      <c r="U3530">
        <f t="shared" si="334"/>
        <v>20</v>
      </c>
      <c r="V3530">
        <f t="shared" si="335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 s="8">
        <f t="shared" si="331"/>
        <v>36.67</v>
      </c>
      <c r="Q3531" s="10" t="s">
        <v>8315</v>
      </c>
      <c r="R3531" s="10" t="s">
        <v>8316</v>
      </c>
      <c r="S3531" s="16">
        <f t="shared" si="332"/>
        <v>42177.761782407411</v>
      </c>
      <c r="T3531" s="16">
        <f t="shared" si="333"/>
        <v>42198.041666666672</v>
      </c>
      <c r="U3531">
        <f t="shared" si="334"/>
        <v>20</v>
      </c>
      <c r="V3531">
        <f t="shared" si="335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 s="8">
        <f t="shared" si="331"/>
        <v>125</v>
      </c>
      <c r="Q3532" s="10" t="s">
        <v>8315</v>
      </c>
      <c r="R3532" s="10" t="s">
        <v>8316</v>
      </c>
      <c r="S3532" s="16">
        <f t="shared" si="332"/>
        <v>42442.623344907406</v>
      </c>
      <c r="T3532" s="16">
        <f t="shared" si="333"/>
        <v>42470.833333333328</v>
      </c>
      <c r="U3532">
        <f t="shared" si="334"/>
        <v>28</v>
      </c>
      <c r="V3532">
        <f t="shared" si="335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 s="8">
        <f t="shared" si="331"/>
        <v>49.23</v>
      </c>
      <c r="Q3533" s="10" t="s">
        <v>8315</v>
      </c>
      <c r="R3533" s="10" t="s">
        <v>8316</v>
      </c>
      <c r="S3533" s="16">
        <f t="shared" si="332"/>
        <v>42521.654328703706</v>
      </c>
      <c r="T3533" s="16">
        <f t="shared" si="333"/>
        <v>42551.654328703706</v>
      </c>
      <c r="U3533">
        <f t="shared" si="334"/>
        <v>30</v>
      </c>
      <c r="V3533">
        <f t="shared" si="335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 s="8">
        <f t="shared" si="331"/>
        <v>42.3</v>
      </c>
      <c r="Q3534" s="10" t="s">
        <v>8315</v>
      </c>
      <c r="R3534" s="10" t="s">
        <v>8316</v>
      </c>
      <c r="S3534" s="16">
        <f t="shared" si="332"/>
        <v>41884.599849537037</v>
      </c>
      <c r="T3534" s="16">
        <f t="shared" si="333"/>
        <v>41900.165972222225</v>
      </c>
      <c r="U3534">
        <f t="shared" si="334"/>
        <v>16</v>
      </c>
      <c r="V3534">
        <f t="shared" si="335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 s="8">
        <f t="shared" si="331"/>
        <v>78.88</v>
      </c>
      <c r="Q3535" s="10" t="s">
        <v>8315</v>
      </c>
      <c r="R3535" s="10" t="s">
        <v>8316</v>
      </c>
      <c r="S3535" s="16">
        <f t="shared" si="332"/>
        <v>42289.761192129634</v>
      </c>
      <c r="T3535" s="16">
        <f t="shared" si="333"/>
        <v>42319.802858796291</v>
      </c>
      <c r="U3535">
        <f t="shared" si="334"/>
        <v>30</v>
      </c>
      <c r="V3535">
        <f t="shared" si="335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 s="8">
        <f t="shared" si="331"/>
        <v>38.28</v>
      </c>
      <c r="Q3536" s="10" t="s">
        <v>8315</v>
      </c>
      <c r="R3536" s="10" t="s">
        <v>8316</v>
      </c>
      <c r="S3536" s="16">
        <f t="shared" si="332"/>
        <v>42243.6252662037</v>
      </c>
      <c r="T3536" s="16">
        <f t="shared" si="333"/>
        <v>42278.6252662037</v>
      </c>
      <c r="U3536">
        <f t="shared" si="334"/>
        <v>35</v>
      </c>
      <c r="V3536">
        <f t="shared" si="335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 s="8">
        <f t="shared" si="331"/>
        <v>44.85</v>
      </c>
      <c r="Q3537" s="10" t="s">
        <v>8315</v>
      </c>
      <c r="R3537" s="10" t="s">
        <v>8316</v>
      </c>
      <c r="S3537" s="16">
        <f t="shared" si="332"/>
        <v>42248.640162037031</v>
      </c>
      <c r="T3537" s="16">
        <f t="shared" si="333"/>
        <v>42279.75</v>
      </c>
      <c r="U3537">
        <f t="shared" si="334"/>
        <v>31</v>
      </c>
      <c r="V3537">
        <f t="shared" si="335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 s="8">
        <f t="shared" si="331"/>
        <v>13.53</v>
      </c>
      <c r="Q3538" s="10" t="s">
        <v>8315</v>
      </c>
      <c r="R3538" s="10" t="s">
        <v>8316</v>
      </c>
      <c r="S3538" s="16">
        <f t="shared" si="332"/>
        <v>42328.727141203708</v>
      </c>
      <c r="T3538" s="16">
        <f t="shared" si="333"/>
        <v>42358.499305555553</v>
      </c>
      <c r="U3538">
        <f t="shared" si="334"/>
        <v>30</v>
      </c>
      <c r="V3538">
        <f t="shared" si="335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 s="8">
        <f t="shared" si="331"/>
        <v>43.5</v>
      </c>
      <c r="Q3539" s="10" t="s">
        <v>8315</v>
      </c>
      <c r="R3539" s="10" t="s">
        <v>8316</v>
      </c>
      <c r="S3539" s="16">
        <f t="shared" si="332"/>
        <v>41923.354351851849</v>
      </c>
      <c r="T3539" s="16">
        <f t="shared" si="333"/>
        <v>41960.332638888889</v>
      </c>
      <c r="U3539">
        <f t="shared" si="334"/>
        <v>37</v>
      </c>
      <c r="V3539">
        <f t="shared" si="335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 s="8">
        <f t="shared" si="331"/>
        <v>30.95</v>
      </c>
      <c r="Q3540" s="10" t="s">
        <v>8315</v>
      </c>
      <c r="R3540" s="10" t="s">
        <v>8316</v>
      </c>
      <c r="S3540" s="16">
        <f t="shared" si="332"/>
        <v>42571.420601851853</v>
      </c>
      <c r="T3540" s="16">
        <f t="shared" si="333"/>
        <v>42599.420601851853</v>
      </c>
      <c r="U3540">
        <f t="shared" si="334"/>
        <v>28</v>
      </c>
      <c r="V3540">
        <f t="shared" si="335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 s="8">
        <f t="shared" si="331"/>
        <v>55.23</v>
      </c>
      <c r="Q3541" s="10" t="s">
        <v>8315</v>
      </c>
      <c r="R3541" s="10" t="s">
        <v>8316</v>
      </c>
      <c r="S3541" s="16">
        <f t="shared" si="332"/>
        <v>42600.756041666667</v>
      </c>
      <c r="T3541" s="16">
        <f t="shared" si="333"/>
        <v>42621.756041666667</v>
      </c>
      <c r="U3541">
        <f t="shared" si="334"/>
        <v>21</v>
      </c>
      <c r="V3541">
        <f t="shared" si="335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 s="8">
        <f t="shared" si="331"/>
        <v>46.13</v>
      </c>
      <c r="Q3542" s="10" t="s">
        <v>8315</v>
      </c>
      <c r="R3542" s="10" t="s">
        <v>8316</v>
      </c>
      <c r="S3542" s="16">
        <f t="shared" si="332"/>
        <v>42517.003368055557</v>
      </c>
      <c r="T3542" s="16">
        <f t="shared" si="333"/>
        <v>42547.003368055557</v>
      </c>
      <c r="U3542">
        <f t="shared" si="334"/>
        <v>30</v>
      </c>
      <c r="V3542">
        <f t="shared" si="335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 s="8">
        <f t="shared" si="331"/>
        <v>39.380000000000003</v>
      </c>
      <c r="Q3543" s="10" t="s">
        <v>8315</v>
      </c>
      <c r="R3543" s="10" t="s">
        <v>8316</v>
      </c>
      <c r="S3543" s="16">
        <f t="shared" si="332"/>
        <v>42222.730034722219</v>
      </c>
      <c r="T3543" s="16">
        <f t="shared" si="333"/>
        <v>42247.730034722219</v>
      </c>
      <c r="U3543">
        <f t="shared" si="334"/>
        <v>25</v>
      </c>
      <c r="V3543">
        <f t="shared" si="335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 s="8">
        <f t="shared" si="331"/>
        <v>66.150000000000006</v>
      </c>
      <c r="Q3544" s="10" t="s">
        <v>8315</v>
      </c>
      <c r="R3544" s="10" t="s">
        <v>8316</v>
      </c>
      <c r="S3544" s="16">
        <f t="shared" si="332"/>
        <v>41829.599791666667</v>
      </c>
      <c r="T3544" s="16">
        <f t="shared" si="333"/>
        <v>41889.599791666667</v>
      </c>
      <c r="U3544">
        <f t="shared" si="334"/>
        <v>60</v>
      </c>
      <c r="V3544">
        <f t="shared" si="335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 s="8">
        <f t="shared" si="331"/>
        <v>54.14</v>
      </c>
      <c r="Q3545" s="10" t="s">
        <v>8315</v>
      </c>
      <c r="R3545" s="10" t="s">
        <v>8316</v>
      </c>
      <c r="S3545" s="16">
        <f t="shared" si="332"/>
        <v>42150.755312499998</v>
      </c>
      <c r="T3545" s="16">
        <f t="shared" si="333"/>
        <v>42180.755312499998</v>
      </c>
      <c r="U3545">
        <f t="shared" si="334"/>
        <v>30</v>
      </c>
      <c r="V3545">
        <f t="shared" si="335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 s="8">
        <f t="shared" si="331"/>
        <v>104.17</v>
      </c>
      <c r="Q3546" s="10" t="s">
        <v>8315</v>
      </c>
      <c r="R3546" s="10" t="s">
        <v>8316</v>
      </c>
      <c r="S3546" s="16">
        <f t="shared" si="332"/>
        <v>42040.831678240742</v>
      </c>
      <c r="T3546" s="16">
        <f t="shared" si="333"/>
        <v>42070.831678240742</v>
      </c>
      <c r="U3546">
        <f t="shared" si="334"/>
        <v>30</v>
      </c>
      <c r="V3546">
        <f t="shared" si="335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 s="8">
        <f t="shared" si="331"/>
        <v>31.38</v>
      </c>
      <c r="Q3547" s="10" t="s">
        <v>8315</v>
      </c>
      <c r="R3547" s="10" t="s">
        <v>8316</v>
      </c>
      <c r="S3547" s="16">
        <f t="shared" si="332"/>
        <v>42075.807395833333</v>
      </c>
      <c r="T3547" s="16">
        <f t="shared" si="333"/>
        <v>42105.807395833333</v>
      </c>
      <c r="U3547">
        <f t="shared" si="334"/>
        <v>30</v>
      </c>
      <c r="V3547">
        <f t="shared" si="335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 s="8">
        <f t="shared" si="331"/>
        <v>59.21</v>
      </c>
      <c r="Q3548" s="10" t="s">
        <v>8315</v>
      </c>
      <c r="R3548" s="10" t="s">
        <v>8316</v>
      </c>
      <c r="S3548" s="16">
        <f t="shared" si="332"/>
        <v>42073.660694444443</v>
      </c>
      <c r="T3548" s="16">
        <f t="shared" si="333"/>
        <v>42095.165972222225</v>
      </c>
      <c r="U3548">
        <f t="shared" si="334"/>
        <v>22</v>
      </c>
      <c r="V3548">
        <f t="shared" si="335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 s="8">
        <f t="shared" si="331"/>
        <v>119.18</v>
      </c>
      <c r="Q3549" s="10" t="s">
        <v>8315</v>
      </c>
      <c r="R3549" s="10" t="s">
        <v>8316</v>
      </c>
      <c r="S3549" s="16">
        <f t="shared" si="332"/>
        <v>42480.078715277778</v>
      </c>
      <c r="T3549" s="16">
        <f t="shared" si="333"/>
        <v>42504.165972222225</v>
      </c>
      <c r="U3549">
        <f t="shared" si="334"/>
        <v>24</v>
      </c>
      <c r="V3549">
        <f t="shared" si="335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 s="8">
        <f t="shared" si="331"/>
        <v>164.62</v>
      </c>
      <c r="Q3550" s="10" t="s">
        <v>8315</v>
      </c>
      <c r="R3550" s="10" t="s">
        <v>8316</v>
      </c>
      <c r="S3550" s="16">
        <f t="shared" si="332"/>
        <v>42411.942291666666</v>
      </c>
      <c r="T3550" s="16">
        <f t="shared" si="333"/>
        <v>42434.041666666672</v>
      </c>
      <c r="U3550">
        <f t="shared" si="334"/>
        <v>22</v>
      </c>
      <c r="V3550">
        <f t="shared" si="335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 s="8">
        <f t="shared" si="331"/>
        <v>24.29</v>
      </c>
      <c r="Q3551" s="10" t="s">
        <v>8315</v>
      </c>
      <c r="R3551" s="10" t="s">
        <v>8316</v>
      </c>
      <c r="S3551" s="16">
        <f t="shared" si="332"/>
        <v>42223.394363425927</v>
      </c>
      <c r="T3551" s="16">
        <f t="shared" si="333"/>
        <v>42251.394363425927</v>
      </c>
      <c r="U3551">
        <f t="shared" si="334"/>
        <v>28</v>
      </c>
      <c r="V3551">
        <f t="shared" si="335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 s="8">
        <f t="shared" si="331"/>
        <v>40.94</v>
      </c>
      <c r="Q3552" s="10" t="s">
        <v>8315</v>
      </c>
      <c r="R3552" s="10" t="s">
        <v>8316</v>
      </c>
      <c r="S3552" s="16">
        <f t="shared" si="332"/>
        <v>42462.893495370372</v>
      </c>
      <c r="T3552" s="16">
        <f t="shared" si="333"/>
        <v>42492.893495370372</v>
      </c>
      <c r="U3552">
        <f t="shared" si="334"/>
        <v>30</v>
      </c>
      <c r="V3552">
        <f t="shared" si="335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 s="8">
        <f t="shared" si="331"/>
        <v>61.1</v>
      </c>
      <c r="Q3553" s="10" t="s">
        <v>8315</v>
      </c>
      <c r="R3553" s="10" t="s">
        <v>8316</v>
      </c>
      <c r="S3553" s="16">
        <f t="shared" si="332"/>
        <v>41753.515856481477</v>
      </c>
      <c r="T3553" s="16">
        <f t="shared" si="333"/>
        <v>41781.921527777777</v>
      </c>
      <c r="U3553">
        <f t="shared" si="334"/>
        <v>28</v>
      </c>
      <c r="V3553">
        <f t="shared" si="335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 s="8">
        <f t="shared" si="331"/>
        <v>38.65</v>
      </c>
      <c r="Q3554" s="10" t="s">
        <v>8315</v>
      </c>
      <c r="R3554" s="10" t="s">
        <v>8316</v>
      </c>
      <c r="S3554" s="16">
        <f t="shared" si="332"/>
        <v>41788.587083333332</v>
      </c>
      <c r="T3554" s="16">
        <f t="shared" si="333"/>
        <v>41818.587083333332</v>
      </c>
      <c r="U3554">
        <f t="shared" si="334"/>
        <v>30</v>
      </c>
      <c r="V3554">
        <f t="shared" si="335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 s="8">
        <f t="shared" si="331"/>
        <v>56.2</v>
      </c>
      <c r="Q3555" s="10" t="s">
        <v>8315</v>
      </c>
      <c r="R3555" s="10" t="s">
        <v>8316</v>
      </c>
      <c r="S3555" s="16">
        <f t="shared" si="332"/>
        <v>42196.028703703705</v>
      </c>
      <c r="T3555" s="16">
        <f t="shared" si="333"/>
        <v>42228</v>
      </c>
      <c r="U3555">
        <f t="shared" si="334"/>
        <v>32</v>
      </c>
      <c r="V3555">
        <f t="shared" si="335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 s="8">
        <f t="shared" si="331"/>
        <v>107</v>
      </c>
      <c r="Q3556" s="10" t="s">
        <v>8315</v>
      </c>
      <c r="R3556" s="10" t="s">
        <v>8316</v>
      </c>
      <c r="S3556" s="16">
        <f t="shared" si="332"/>
        <v>42016.050451388888</v>
      </c>
      <c r="T3556" s="16">
        <f t="shared" si="333"/>
        <v>42046.708333333328</v>
      </c>
      <c r="U3556">
        <f t="shared" si="334"/>
        <v>31</v>
      </c>
      <c r="V3556">
        <f t="shared" si="335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 s="8">
        <f t="shared" si="331"/>
        <v>171.43</v>
      </c>
      <c r="Q3557" s="10" t="s">
        <v>8315</v>
      </c>
      <c r="R3557" s="10" t="s">
        <v>8316</v>
      </c>
      <c r="S3557" s="16">
        <f t="shared" si="332"/>
        <v>42661.442060185189</v>
      </c>
      <c r="T3557" s="16">
        <f t="shared" si="333"/>
        <v>42691.483726851846</v>
      </c>
      <c r="U3557">
        <f t="shared" si="334"/>
        <v>30</v>
      </c>
      <c r="V3557">
        <f t="shared" si="335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 s="8">
        <f t="shared" si="331"/>
        <v>110.5</v>
      </c>
      <c r="Q3558" s="10" t="s">
        <v>8315</v>
      </c>
      <c r="R3558" s="10" t="s">
        <v>8316</v>
      </c>
      <c r="S3558" s="16">
        <f t="shared" si="332"/>
        <v>41808.649583333332</v>
      </c>
      <c r="T3558" s="16">
        <f t="shared" si="333"/>
        <v>41868.649583333332</v>
      </c>
      <c r="U3558">
        <f t="shared" si="334"/>
        <v>60</v>
      </c>
      <c r="V3558">
        <f t="shared" si="335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 s="8">
        <f t="shared" si="331"/>
        <v>179.28</v>
      </c>
      <c r="Q3559" s="10" t="s">
        <v>8315</v>
      </c>
      <c r="R3559" s="10" t="s">
        <v>8316</v>
      </c>
      <c r="S3559" s="16">
        <f t="shared" si="332"/>
        <v>41730.276747685188</v>
      </c>
      <c r="T3559" s="16">
        <f t="shared" si="333"/>
        <v>41764.276747685188</v>
      </c>
      <c r="U3559">
        <f t="shared" si="334"/>
        <v>34</v>
      </c>
      <c r="V3559">
        <f t="shared" si="335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 s="8">
        <f t="shared" si="331"/>
        <v>22.91</v>
      </c>
      <c r="Q3560" s="10" t="s">
        <v>8315</v>
      </c>
      <c r="R3560" s="10" t="s">
        <v>8316</v>
      </c>
      <c r="S3560" s="16">
        <f t="shared" si="332"/>
        <v>42139.816840277781</v>
      </c>
      <c r="T3560" s="16">
        <f t="shared" si="333"/>
        <v>42181.875</v>
      </c>
      <c r="U3560">
        <f t="shared" si="334"/>
        <v>42</v>
      </c>
      <c r="V3560">
        <f t="shared" si="335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 s="8">
        <f t="shared" si="331"/>
        <v>43.13</v>
      </c>
      <c r="Q3561" s="10" t="s">
        <v>8315</v>
      </c>
      <c r="R3561" s="10" t="s">
        <v>8316</v>
      </c>
      <c r="S3561" s="16">
        <f t="shared" si="332"/>
        <v>42194.096157407403</v>
      </c>
      <c r="T3561" s="16">
        <f t="shared" si="333"/>
        <v>42216.373611111107</v>
      </c>
      <c r="U3561">
        <f t="shared" si="334"/>
        <v>22</v>
      </c>
      <c r="V3561">
        <f t="shared" si="335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 s="8">
        <f t="shared" si="331"/>
        <v>46.89</v>
      </c>
      <c r="Q3562" s="10" t="s">
        <v>8315</v>
      </c>
      <c r="R3562" s="10" t="s">
        <v>8316</v>
      </c>
      <c r="S3562" s="16">
        <f t="shared" si="332"/>
        <v>42115.889652777783</v>
      </c>
      <c r="T3562" s="16">
        <f t="shared" si="333"/>
        <v>42151.114583333328</v>
      </c>
      <c r="U3562">
        <f t="shared" si="334"/>
        <v>35</v>
      </c>
      <c r="V3562">
        <f t="shared" si="335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 s="8">
        <f t="shared" si="331"/>
        <v>47.41</v>
      </c>
      <c r="Q3563" s="10" t="s">
        <v>8315</v>
      </c>
      <c r="R3563" s="10" t="s">
        <v>8316</v>
      </c>
      <c r="S3563" s="16">
        <f t="shared" si="332"/>
        <v>42203.680300925931</v>
      </c>
      <c r="T3563" s="16">
        <f t="shared" si="333"/>
        <v>42221.774999999994</v>
      </c>
      <c r="U3563">
        <f t="shared" si="334"/>
        <v>18</v>
      </c>
      <c r="V3563">
        <f t="shared" si="335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 s="8">
        <f t="shared" si="331"/>
        <v>15.13</v>
      </c>
      <c r="Q3564" s="10" t="s">
        <v>8315</v>
      </c>
      <c r="R3564" s="10" t="s">
        <v>8316</v>
      </c>
      <c r="S3564" s="16">
        <f t="shared" si="332"/>
        <v>42433.761886574073</v>
      </c>
      <c r="T3564" s="16">
        <f t="shared" si="333"/>
        <v>42442.916666666672</v>
      </c>
      <c r="U3564">
        <f t="shared" si="334"/>
        <v>9</v>
      </c>
      <c r="V3564">
        <f t="shared" si="335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 s="8">
        <f t="shared" si="331"/>
        <v>21.1</v>
      </c>
      <c r="Q3565" s="10" t="s">
        <v>8315</v>
      </c>
      <c r="R3565" s="10" t="s">
        <v>8316</v>
      </c>
      <c r="S3565" s="16">
        <f t="shared" si="332"/>
        <v>42555.671944444446</v>
      </c>
      <c r="T3565" s="16">
        <f t="shared" si="333"/>
        <v>42583.791666666672</v>
      </c>
      <c r="U3565">
        <f t="shared" si="334"/>
        <v>28</v>
      </c>
      <c r="V3565">
        <f t="shared" si="335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 s="8">
        <f t="shared" si="331"/>
        <v>59.12</v>
      </c>
      <c r="Q3566" s="10" t="s">
        <v>8315</v>
      </c>
      <c r="R3566" s="10" t="s">
        <v>8316</v>
      </c>
      <c r="S3566" s="16">
        <f t="shared" si="332"/>
        <v>42236.623252314821</v>
      </c>
      <c r="T3566" s="16">
        <f t="shared" si="333"/>
        <v>42282.666666666672</v>
      </c>
      <c r="U3566">
        <f t="shared" si="334"/>
        <v>46</v>
      </c>
      <c r="V3566">
        <f t="shared" si="335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 s="8">
        <f t="shared" si="331"/>
        <v>97.92</v>
      </c>
      <c r="Q3567" s="10" t="s">
        <v>8315</v>
      </c>
      <c r="R3567" s="10" t="s">
        <v>8316</v>
      </c>
      <c r="S3567" s="16">
        <f t="shared" si="332"/>
        <v>41974.743148148147</v>
      </c>
      <c r="T3567" s="16">
        <f t="shared" si="333"/>
        <v>42004.743148148147</v>
      </c>
      <c r="U3567">
        <f t="shared" si="334"/>
        <v>30</v>
      </c>
      <c r="V3567">
        <f t="shared" si="335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 s="8">
        <f t="shared" si="331"/>
        <v>55.13</v>
      </c>
      <c r="Q3568" s="10" t="s">
        <v>8315</v>
      </c>
      <c r="R3568" s="10" t="s">
        <v>8316</v>
      </c>
      <c r="S3568" s="16">
        <f t="shared" si="332"/>
        <v>41997.507905092592</v>
      </c>
      <c r="T3568" s="16">
        <f t="shared" si="333"/>
        <v>42027.507905092592</v>
      </c>
      <c r="U3568">
        <f t="shared" si="334"/>
        <v>30</v>
      </c>
      <c r="V3568">
        <f t="shared" si="335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 s="8">
        <f t="shared" si="331"/>
        <v>26.54</v>
      </c>
      <c r="Q3569" s="10" t="s">
        <v>8315</v>
      </c>
      <c r="R3569" s="10" t="s">
        <v>8316</v>
      </c>
      <c r="S3569" s="16">
        <f t="shared" si="332"/>
        <v>42135.810694444444</v>
      </c>
      <c r="T3569" s="16">
        <f t="shared" si="333"/>
        <v>42165.810694444444</v>
      </c>
      <c r="U3569">
        <f t="shared" si="334"/>
        <v>30</v>
      </c>
      <c r="V3569">
        <f t="shared" si="335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 s="8">
        <f t="shared" si="331"/>
        <v>58.42</v>
      </c>
      <c r="Q3570" s="10" t="s">
        <v>8315</v>
      </c>
      <c r="R3570" s="10" t="s">
        <v>8316</v>
      </c>
      <c r="S3570" s="16">
        <f t="shared" si="332"/>
        <v>41869.740671296298</v>
      </c>
      <c r="T3570" s="16">
        <f t="shared" si="333"/>
        <v>41899.740671296298</v>
      </c>
      <c r="U3570">
        <f t="shared" si="334"/>
        <v>30</v>
      </c>
      <c r="V3570">
        <f t="shared" si="335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 s="8">
        <f t="shared" si="331"/>
        <v>122.54</v>
      </c>
      <c r="Q3571" s="10" t="s">
        <v>8315</v>
      </c>
      <c r="R3571" s="10" t="s">
        <v>8316</v>
      </c>
      <c r="S3571" s="16">
        <f t="shared" si="332"/>
        <v>41982.688611111109</v>
      </c>
      <c r="T3571" s="16">
        <f t="shared" si="333"/>
        <v>42012.688611111109</v>
      </c>
      <c r="U3571">
        <f t="shared" si="334"/>
        <v>30</v>
      </c>
      <c r="V3571">
        <f t="shared" si="335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 s="8">
        <f t="shared" si="331"/>
        <v>87.96</v>
      </c>
      <c r="Q3572" s="10" t="s">
        <v>8315</v>
      </c>
      <c r="R3572" s="10" t="s">
        <v>8316</v>
      </c>
      <c r="S3572" s="16">
        <f t="shared" si="332"/>
        <v>41976.331979166673</v>
      </c>
      <c r="T3572" s="16">
        <f t="shared" si="333"/>
        <v>42004.291666666672</v>
      </c>
      <c r="U3572">
        <f t="shared" si="334"/>
        <v>28</v>
      </c>
      <c r="V3572">
        <f t="shared" si="335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 s="8">
        <f t="shared" si="331"/>
        <v>73.239999999999995</v>
      </c>
      <c r="Q3573" s="10" t="s">
        <v>8315</v>
      </c>
      <c r="R3573" s="10" t="s">
        <v>8316</v>
      </c>
      <c r="S3573" s="16">
        <f t="shared" si="332"/>
        <v>41912.858946759261</v>
      </c>
      <c r="T3573" s="16">
        <f t="shared" si="333"/>
        <v>41942.858946759261</v>
      </c>
      <c r="U3573">
        <f t="shared" si="334"/>
        <v>30</v>
      </c>
      <c r="V3573">
        <f t="shared" si="335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 s="8">
        <f t="shared" si="331"/>
        <v>55.56</v>
      </c>
      <c r="Q3574" s="10" t="s">
        <v>8315</v>
      </c>
      <c r="R3574" s="10" t="s">
        <v>8316</v>
      </c>
      <c r="S3574" s="16">
        <f t="shared" si="332"/>
        <v>42146.570393518516</v>
      </c>
      <c r="T3574" s="16">
        <f t="shared" si="333"/>
        <v>42176.570393518516</v>
      </c>
      <c r="U3574">
        <f t="shared" si="334"/>
        <v>30</v>
      </c>
      <c r="V3574">
        <f t="shared" si="335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 s="8">
        <f t="shared" si="331"/>
        <v>39.54</v>
      </c>
      <c r="Q3575" s="10" t="s">
        <v>8315</v>
      </c>
      <c r="R3575" s="10" t="s">
        <v>8316</v>
      </c>
      <c r="S3575" s="16">
        <f t="shared" si="332"/>
        <v>41921.375532407408</v>
      </c>
      <c r="T3575" s="16">
        <f t="shared" si="333"/>
        <v>41951.417199074072</v>
      </c>
      <c r="U3575">
        <f t="shared" si="334"/>
        <v>30</v>
      </c>
      <c r="V3575">
        <f t="shared" si="335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 s="8">
        <f t="shared" si="331"/>
        <v>136.78</v>
      </c>
      <c r="Q3576" s="10" t="s">
        <v>8315</v>
      </c>
      <c r="R3576" s="10" t="s">
        <v>8316</v>
      </c>
      <c r="S3576" s="16">
        <f t="shared" si="332"/>
        <v>41926.942685185182</v>
      </c>
      <c r="T3576" s="16">
        <f t="shared" si="333"/>
        <v>41956.984351851846</v>
      </c>
      <c r="U3576">
        <f t="shared" si="334"/>
        <v>30</v>
      </c>
      <c r="V3576">
        <f t="shared" si="335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 s="8">
        <f t="shared" si="331"/>
        <v>99.34</v>
      </c>
      <c r="Q3577" s="10" t="s">
        <v>8315</v>
      </c>
      <c r="R3577" s="10" t="s">
        <v>8316</v>
      </c>
      <c r="S3577" s="16">
        <f t="shared" si="332"/>
        <v>42561.783877314811</v>
      </c>
      <c r="T3577" s="16">
        <f t="shared" si="333"/>
        <v>42593.165972222225</v>
      </c>
      <c r="U3577">
        <f t="shared" si="334"/>
        <v>31</v>
      </c>
      <c r="V3577">
        <f t="shared" si="335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 s="8">
        <f t="shared" si="331"/>
        <v>20</v>
      </c>
      <c r="Q3578" s="10" t="s">
        <v>8315</v>
      </c>
      <c r="R3578" s="10" t="s">
        <v>8316</v>
      </c>
      <c r="S3578" s="16">
        <f t="shared" si="332"/>
        <v>42649.54923611111</v>
      </c>
      <c r="T3578" s="16">
        <f t="shared" si="333"/>
        <v>42709.590902777782</v>
      </c>
      <c r="U3578">
        <f t="shared" si="334"/>
        <v>60</v>
      </c>
      <c r="V3578">
        <f t="shared" si="335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 s="8">
        <f t="shared" si="331"/>
        <v>28.89</v>
      </c>
      <c r="Q3579" s="10" t="s">
        <v>8315</v>
      </c>
      <c r="R3579" s="10" t="s">
        <v>8316</v>
      </c>
      <c r="S3579" s="16">
        <f t="shared" si="332"/>
        <v>42093.786840277782</v>
      </c>
      <c r="T3579" s="16">
        <f t="shared" si="333"/>
        <v>42120.26944444445</v>
      </c>
      <c r="U3579">
        <f t="shared" si="334"/>
        <v>26</v>
      </c>
      <c r="V3579">
        <f t="shared" si="335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 s="8">
        <f t="shared" si="331"/>
        <v>40.549999999999997</v>
      </c>
      <c r="Q3580" s="10" t="s">
        <v>8315</v>
      </c>
      <c r="R3580" s="10" t="s">
        <v>8316</v>
      </c>
      <c r="S3580" s="16">
        <f t="shared" si="332"/>
        <v>42460.733530092592</v>
      </c>
      <c r="T3580" s="16">
        <f t="shared" si="333"/>
        <v>42490.733530092592</v>
      </c>
      <c r="U3580">
        <f t="shared" si="334"/>
        <v>30</v>
      </c>
      <c r="V3580">
        <f t="shared" si="335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 s="8">
        <f t="shared" si="331"/>
        <v>35.71</v>
      </c>
      <c r="Q3581" s="10" t="s">
        <v>8315</v>
      </c>
      <c r="R3581" s="10" t="s">
        <v>8316</v>
      </c>
      <c r="S3581" s="16">
        <f t="shared" si="332"/>
        <v>42430.762222222227</v>
      </c>
      <c r="T3581" s="16">
        <f t="shared" si="333"/>
        <v>42460.720555555556</v>
      </c>
      <c r="U3581">
        <f t="shared" si="334"/>
        <v>30</v>
      </c>
      <c r="V3581">
        <f t="shared" si="335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 s="8">
        <f t="shared" si="331"/>
        <v>37.96</v>
      </c>
      <c r="Q3582" s="10" t="s">
        <v>8315</v>
      </c>
      <c r="R3582" s="10" t="s">
        <v>8316</v>
      </c>
      <c r="S3582" s="16">
        <f t="shared" si="332"/>
        <v>42026.176180555558</v>
      </c>
      <c r="T3582" s="16">
        <f t="shared" si="333"/>
        <v>42064.207638888889</v>
      </c>
      <c r="U3582">
        <f t="shared" si="334"/>
        <v>38</v>
      </c>
      <c r="V3582">
        <f t="shared" si="335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 s="8">
        <f t="shared" si="331"/>
        <v>33.33</v>
      </c>
      <c r="Q3583" s="10" t="s">
        <v>8315</v>
      </c>
      <c r="R3583" s="10" t="s">
        <v>8316</v>
      </c>
      <c r="S3583" s="16">
        <f t="shared" si="332"/>
        <v>41836.471180555556</v>
      </c>
      <c r="T3583" s="16">
        <f t="shared" si="333"/>
        <v>41850.471180555556</v>
      </c>
      <c r="U3583">
        <f t="shared" si="334"/>
        <v>14</v>
      </c>
      <c r="V3583">
        <f t="shared" si="335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 s="8">
        <f t="shared" si="331"/>
        <v>58.57</v>
      </c>
      <c r="Q3584" s="10" t="s">
        <v>8315</v>
      </c>
      <c r="R3584" s="10" t="s">
        <v>8316</v>
      </c>
      <c r="S3584" s="16">
        <f t="shared" si="332"/>
        <v>42451.095856481479</v>
      </c>
      <c r="T3584" s="16">
        <f t="shared" si="333"/>
        <v>42465.095856481479</v>
      </c>
      <c r="U3584">
        <f t="shared" si="334"/>
        <v>14</v>
      </c>
      <c r="V3584">
        <f t="shared" si="335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 s="8">
        <f t="shared" si="331"/>
        <v>135.63</v>
      </c>
      <c r="Q3585" s="10" t="s">
        <v>8315</v>
      </c>
      <c r="R3585" s="10" t="s">
        <v>8316</v>
      </c>
      <c r="S3585" s="16">
        <f t="shared" si="332"/>
        <v>42418.425983796296</v>
      </c>
      <c r="T3585" s="16">
        <f t="shared" si="333"/>
        <v>42478.384317129632</v>
      </c>
      <c r="U3585">
        <f t="shared" si="334"/>
        <v>60</v>
      </c>
      <c r="V3585">
        <f t="shared" si="335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ROUND((E3586/D3586)*100, 0)</f>
        <v>116</v>
      </c>
      <c r="P3586" s="8">
        <f t="shared" ref="P3586:P3649" si="337">IFERROR(ROUND(E3586/L3586, 2), 0)</f>
        <v>30.94</v>
      </c>
      <c r="Q3586" s="10" t="s">
        <v>8315</v>
      </c>
      <c r="R3586" s="10" t="s">
        <v>8316</v>
      </c>
      <c r="S3586" s="16">
        <f t="shared" ref="S3586:S3649" si="338">(J3586/60/60/24)+DATE(1970, 1, 1)</f>
        <v>42168.316481481481</v>
      </c>
      <c r="T3586" s="16">
        <f t="shared" ref="T3586:T3649" si="339">(I3586/60/60/24)+DATE(1970, 1, 1)</f>
        <v>42198.316481481481</v>
      </c>
      <c r="U3586">
        <f t="shared" si="334"/>
        <v>30</v>
      </c>
      <c r="V3586">
        <f t="shared" si="335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 s="8">
        <f t="shared" si="337"/>
        <v>176.09</v>
      </c>
      <c r="Q3587" s="10" t="s">
        <v>8315</v>
      </c>
      <c r="R3587" s="10" t="s">
        <v>8316</v>
      </c>
      <c r="S3587" s="16">
        <f t="shared" si="338"/>
        <v>41964.716319444444</v>
      </c>
      <c r="T3587" s="16">
        <f t="shared" si="339"/>
        <v>41994.716319444444</v>
      </c>
      <c r="U3587">
        <f t="shared" ref="U3587:U3650" si="340">ROUND(T3587-S3587, 0)</f>
        <v>30</v>
      </c>
      <c r="V3587">
        <f t="shared" ref="V3587:V3650" si="341">YEAR($S3587)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 s="8">
        <f t="shared" si="337"/>
        <v>151.97999999999999</v>
      </c>
      <c r="Q3588" s="10" t="s">
        <v>8315</v>
      </c>
      <c r="R3588" s="10" t="s">
        <v>8316</v>
      </c>
      <c r="S3588" s="16">
        <f t="shared" si="338"/>
        <v>42576.697569444441</v>
      </c>
      <c r="T3588" s="16">
        <f t="shared" si="339"/>
        <v>42636.697569444441</v>
      </c>
      <c r="U3588">
        <f t="shared" si="340"/>
        <v>60</v>
      </c>
      <c r="V3588">
        <f t="shared" si="341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 s="8">
        <f t="shared" si="337"/>
        <v>22.61</v>
      </c>
      <c r="Q3589" s="10" t="s">
        <v>8315</v>
      </c>
      <c r="R3589" s="10" t="s">
        <v>8316</v>
      </c>
      <c r="S3589" s="16">
        <f t="shared" si="338"/>
        <v>42503.539976851855</v>
      </c>
      <c r="T3589" s="16">
        <f t="shared" si="339"/>
        <v>42548.791666666672</v>
      </c>
      <c r="U3589">
        <f t="shared" si="340"/>
        <v>45</v>
      </c>
      <c r="V3589">
        <f t="shared" si="341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 s="8">
        <f t="shared" si="337"/>
        <v>18.27</v>
      </c>
      <c r="Q3590" s="10" t="s">
        <v>8315</v>
      </c>
      <c r="R3590" s="10" t="s">
        <v>8316</v>
      </c>
      <c r="S3590" s="16">
        <f t="shared" si="338"/>
        <v>42101.828819444447</v>
      </c>
      <c r="T3590" s="16">
        <f t="shared" si="339"/>
        <v>42123.958333333328</v>
      </c>
      <c r="U3590">
        <f t="shared" si="340"/>
        <v>22</v>
      </c>
      <c r="V3590">
        <f t="shared" si="341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 s="8">
        <f t="shared" si="337"/>
        <v>82.26</v>
      </c>
      <c r="Q3591" s="10" t="s">
        <v>8315</v>
      </c>
      <c r="R3591" s="10" t="s">
        <v>8316</v>
      </c>
      <c r="S3591" s="16">
        <f t="shared" si="338"/>
        <v>42125.647534722222</v>
      </c>
      <c r="T3591" s="16">
        <f t="shared" si="339"/>
        <v>42150.647534722222</v>
      </c>
      <c r="U3591">
        <f t="shared" si="340"/>
        <v>25</v>
      </c>
      <c r="V3591">
        <f t="shared" si="341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 s="8">
        <f t="shared" si="337"/>
        <v>68.53</v>
      </c>
      <c r="Q3592" s="10" t="s">
        <v>8315</v>
      </c>
      <c r="R3592" s="10" t="s">
        <v>8316</v>
      </c>
      <c r="S3592" s="16">
        <f t="shared" si="338"/>
        <v>41902.333726851852</v>
      </c>
      <c r="T3592" s="16">
        <f t="shared" si="339"/>
        <v>41932.333726851852</v>
      </c>
      <c r="U3592">
        <f t="shared" si="340"/>
        <v>30</v>
      </c>
      <c r="V3592">
        <f t="shared" si="341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 s="8">
        <f t="shared" si="337"/>
        <v>68.06</v>
      </c>
      <c r="Q3593" s="10" t="s">
        <v>8315</v>
      </c>
      <c r="R3593" s="10" t="s">
        <v>8316</v>
      </c>
      <c r="S3593" s="16">
        <f t="shared" si="338"/>
        <v>42003.948425925926</v>
      </c>
      <c r="T3593" s="16">
        <f t="shared" si="339"/>
        <v>42028.207638888889</v>
      </c>
      <c r="U3593">
        <f t="shared" si="340"/>
        <v>24</v>
      </c>
      <c r="V3593">
        <f t="shared" si="341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 s="8">
        <f t="shared" si="337"/>
        <v>72.709999999999994</v>
      </c>
      <c r="Q3594" s="10" t="s">
        <v>8315</v>
      </c>
      <c r="R3594" s="10" t="s">
        <v>8316</v>
      </c>
      <c r="S3594" s="16">
        <f t="shared" si="338"/>
        <v>41988.829942129625</v>
      </c>
      <c r="T3594" s="16">
        <f t="shared" si="339"/>
        <v>42046.207638888889</v>
      </c>
      <c r="U3594">
        <f t="shared" si="340"/>
        <v>57</v>
      </c>
      <c r="V3594">
        <f t="shared" si="341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 s="8">
        <f t="shared" si="337"/>
        <v>77.19</v>
      </c>
      <c r="Q3595" s="10" t="s">
        <v>8315</v>
      </c>
      <c r="R3595" s="10" t="s">
        <v>8316</v>
      </c>
      <c r="S3595" s="16">
        <f t="shared" si="338"/>
        <v>41974.898599537039</v>
      </c>
      <c r="T3595" s="16">
        <f t="shared" si="339"/>
        <v>42009.851388888885</v>
      </c>
      <c r="U3595">
        <f t="shared" si="340"/>
        <v>35</v>
      </c>
      <c r="V3595">
        <f t="shared" si="341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 s="8">
        <f t="shared" si="337"/>
        <v>55.97</v>
      </c>
      <c r="Q3596" s="10" t="s">
        <v>8315</v>
      </c>
      <c r="R3596" s="10" t="s">
        <v>8316</v>
      </c>
      <c r="S3596" s="16">
        <f t="shared" si="338"/>
        <v>42592.066921296297</v>
      </c>
      <c r="T3596" s="16">
        <f t="shared" si="339"/>
        <v>42617.066921296297</v>
      </c>
      <c r="U3596">
        <f t="shared" si="340"/>
        <v>25</v>
      </c>
      <c r="V3596">
        <f t="shared" si="341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 s="8">
        <f t="shared" si="337"/>
        <v>49.69</v>
      </c>
      <c r="Q3597" s="10" t="s">
        <v>8315</v>
      </c>
      <c r="R3597" s="10" t="s">
        <v>8316</v>
      </c>
      <c r="S3597" s="16">
        <f t="shared" si="338"/>
        <v>42050.008368055554</v>
      </c>
      <c r="T3597" s="16">
        <f t="shared" si="339"/>
        <v>42076.290972222225</v>
      </c>
      <c r="U3597">
        <f t="shared" si="340"/>
        <v>26</v>
      </c>
      <c r="V3597">
        <f t="shared" si="341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 s="8">
        <f t="shared" si="337"/>
        <v>79</v>
      </c>
      <c r="Q3598" s="10" t="s">
        <v>8315</v>
      </c>
      <c r="R3598" s="10" t="s">
        <v>8316</v>
      </c>
      <c r="S3598" s="16">
        <f t="shared" si="338"/>
        <v>41856.715069444443</v>
      </c>
      <c r="T3598" s="16">
        <f t="shared" si="339"/>
        <v>41877.715069444443</v>
      </c>
      <c r="U3598">
        <f t="shared" si="340"/>
        <v>21</v>
      </c>
      <c r="V3598">
        <f t="shared" si="341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 s="8">
        <f t="shared" si="337"/>
        <v>77.73</v>
      </c>
      <c r="Q3599" s="10" t="s">
        <v>8315</v>
      </c>
      <c r="R3599" s="10" t="s">
        <v>8316</v>
      </c>
      <c r="S3599" s="16">
        <f t="shared" si="338"/>
        <v>42417.585532407407</v>
      </c>
      <c r="T3599" s="16">
        <f t="shared" si="339"/>
        <v>42432.249305555553</v>
      </c>
      <c r="U3599">
        <f t="shared" si="340"/>
        <v>15</v>
      </c>
      <c r="V3599">
        <f t="shared" si="341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 s="8">
        <f t="shared" si="337"/>
        <v>40.78</v>
      </c>
      <c r="Q3600" s="10" t="s">
        <v>8315</v>
      </c>
      <c r="R3600" s="10" t="s">
        <v>8316</v>
      </c>
      <c r="S3600" s="16">
        <f t="shared" si="338"/>
        <v>41866.79886574074</v>
      </c>
      <c r="T3600" s="16">
        <f t="shared" si="339"/>
        <v>41885.207638888889</v>
      </c>
      <c r="U3600">
        <f t="shared" si="340"/>
        <v>18</v>
      </c>
      <c r="V3600">
        <f t="shared" si="341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 s="8">
        <f t="shared" si="337"/>
        <v>59.41</v>
      </c>
      <c r="Q3601" s="10" t="s">
        <v>8315</v>
      </c>
      <c r="R3601" s="10" t="s">
        <v>8316</v>
      </c>
      <c r="S3601" s="16">
        <f t="shared" si="338"/>
        <v>42220.79487268519</v>
      </c>
      <c r="T3601" s="16">
        <f t="shared" si="339"/>
        <v>42246</v>
      </c>
      <c r="U3601">
        <f t="shared" si="340"/>
        <v>25</v>
      </c>
      <c r="V3601">
        <f t="shared" si="341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 s="8">
        <f t="shared" si="337"/>
        <v>3.25</v>
      </c>
      <c r="Q3602" s="10" t="s">
        <v>8315</v>
      </c>
      <c r="R3602" s="10" t="s">
        <v>8316</v>
      </c>
      <c r="S3602" s="16">
        <f t="shared" si="338"/>
        <v>42628.849120370374</v>
      </c>
      <c r="T3602" s="16">
        <f t="shared" si="339"/>
        <v>42656.849120370374</v>
      </c>
      <c r="U3602">
        <f t="shared" si="340"/>
        <v>28</v>
      </c>
      <c r="V3602">
        <f t="shared" si="341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 s="8">
        <f t="shared" si="337"/>
        <v>39.380000000000003</v>
      </c>
      <c r="Q3603" s="10" t="s">
        <v>8315</v>
      </c>
      <c r="R3603" s="10" t="s">
        <v>8316</v>
      </c>
      <c r="S3603" s="16">
        <f t="shared" si="338"/>
        <v>41990.99863425926</v>
      </c>
      <c r="T3603" s="16">
        <f t="shared" si="339"/>
        <v>42020.99863425926</v>
      </c>
      <c r="U3603">
        <f t="shared" si="340"/>
        <v>30</v>
      </c>
      <c r="V3603">
        <f t="shared" si="341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 s="8">
        <f t="shared" si="337"/>
        <v>81.67</v>
      </c>
      <c r="Q3604" s="10" t="s">
        <v>8315</v>
      </c>
      <c r="R3604" s="10" t="s">
        <v>8316</v>
      </c>
      <c r="S3604" s="16">
        <f t="shared" si="338"/>
        <v>42447.894432870366</v>
      </c>
      <c r="T3604" s="16">
        <f t="shared" si="339"/>
        <v>42507.894432870366</v>
      </c>
      <c r="U3604">
        <f t="shared" si="340"/>
        <v>60</v>
      </c>
      <c r="V3604">
        <f t="shared" si="341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 s="8">
        <f t="shared" si="337"/>
        <v>44.91</v>
      </c>
      <c r="Q3605" s="10" t="s">
        <v>8315</v>
      </c>
      <c r="R3605" s="10" t="s">
        <v>8316</v>
      </c>
      <c r="S3605" s="16">
        <f t="shared" si="338"/>
        <v>42283.864351851851</v>
      </c>
      <c r="T3605" s="16">
        <f t="shared" si="339"/>
        <v>42313.906018518523</v>
      </c>
      <c r="U3605">
        <f t="shared" si="340"/>
        <v>30</v>
      </c>
      <c r="V3605">
        <f t="shared" si="341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 s="8">
        <f t="shared" si="337"/>
        <v>49.06</v>
      </c>
      <c r="Q3606" s="10" t="s">
        <v>8315</v>
      </c>
      <c r="R3606" s="10" t="s">
        <v>8316</v>
      </c>
      <c r="S3606" s="16">
        <f t="shared" si="338"/>
        <v>42483.015694444446</v>
      </c>
      <c r="T3606" s="16">
        <f t="shared" si="339"/>
        <v>42489.290972222225</v>
      </c>
      <c r="U3606">
        <f t="shared" si="340"/>
        <v>6</v>
      </c>
      <c r="V3606">
        <f t="shared" si="341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 s="8">
        <f t="shared" si="337"/>
        <v>30.67</v>
      </c>
      <c r="Q3607" s="10" t="s">
        <v>8315</v>
      </c>
      <c r="R3607" s="10" t="s">
        <v>8316</v>
      </c>
      <c r="S3607" s="16">
        <f t="shared" si="338"/>
        <v>42383.793124999997</v>
      </c>
      <c r="T3607" s="16">
        <f t="shared" si="339"/>
        <v>42413.793124999997</v>
      </c>
      <c r="U3607">
        <f t="shared" si="340"/>
        <v>30</v>
      </c>
      <c r="V3607">
        <f t="shared" si="341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 s="8">
        <f t="shared" si="337"/>
        <v>61.06</v>
      </c>
      <c r="Q3608" s="10" t="s">
        <v>8315</v>
      </c>
      <c r="R3608" s="10" t="s">
        <v>8316</v>
      </c>
      <c r="S3608" s="16">
        <f t="shared" si="338"/>
        <v>42566.604826388888</v>
      </c>
      <c r="T3608" s="16">
        <f t="shared" si="339"/>
        <v>42596.604826388888</v>
      </c>
      <c r="U3608">
        <f t="shared" si="340"/>
        <v>30</v>
      </c>
      <c r="V3608">
        <f t="shared" si="341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 s="8">
        <f t="shared" si="337"/>
        <v>29</v>
      </c>
      <c r="Q3609" s="10" t="s">
        <v>8315</v>
      </c>
      <c r="R3609" s="10" t="s">
        <v>8316</v>
      </c>
      <c r="S3609" s="16">
        <f t="shared" si="338"/>
        <v>42338.963912037041</v>
      </c>
      <c r="T3609" s="16">
        <f t="shared" si="339"/>
        <v>42353</v>
      </c>
      <c r="U3609">
        <f t="shared" si="340"/>
        <v>14</v>
      </c>
      <c r="V3609">
        <f t="shared" si="341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 s="8">
        <f t="shared" si="337"/>
        <v>29.63</v>
      </c>
      <c r="Q3610" s="10" t="s">
        <v>8315</v>
      </c>
      <c r="R3610" s="10" t="s">
        <v>8316</v>
      </c>
      <c r="S3610" s="16">
        <f t="shared" si="338"/>
        <v>42506.709375000006</v>
      </c>
      <c r="T3610" s="16">
        <f t="shared" si="339"/>
        <v>42538.583333333328</v>
      </c>
      <c r="U3610">
        <f t="shared" si="340"/>
        <v>32</v>
      </c>
      <c r="V3610">
        <f t="shared" si="341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 s="8">
        <f t="shared" si="337"/>
        <v>143.1</v>
      </c>
      <c r="Q3611" s="10" t="s">
        <v>8315</v>
      </c>
      <c r="R3611" s="10" t="s">
        <v>8316</v>
      </c>
      <c r="S3611" s="16">
        <f t="shared" si="338"/>
        <v>42429.991724537031</v>
      </c>
      <c r="T3611" s="16">
        <f t="shared" si="339"/>
        <v>42459.950057870374</v>
      </c>
      <c r="U3611">
        <f t="shared" si="340"/>
        <v>30</v>
      </c>
      <c r="V3611">
        <f t="shared" si="341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 s="8">
        <f t="shared" si="337"/>
        <v>52.35</v>
      </c>
      <c r="Q3612" s="10" t="s">
        <v>8315</v>
      </c>
      <c r="R3612" s="10" t="s">
        <v>8316</v>
      </c>
      <c r="S3612" s="16">
        <f t="shared" si="338"/>
        <v>42203.432129629626</v>
      </c>
      <c r="T3612" s="16">
        <f t="shared" si="339"/>
        <v>42233.432129629626</v>
      </c>
      <c r="U3612">
        <f t="shared" si="340"/>
        <v>30</v>
      </c>
      <c r="V3612">
        <f t="shared" si="341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 s="8">
        <f t="shared" si="337"/>
        <v>66.67</v>
      </c>
      <c r="Q3613" s="10" t="s">
        <v>8315</v>
      </c>
      <c r="R3613" s="10" t="s">
        <v>8316</v>
      </c>
      <c r="S3613" s="16">
        <f t="shared" si="338"/>
        <v>42072.370381944449</v>
      </c>
      <c r="T3613" s="16">
        <f t="shared" si="339"/>
        <v>42102.370381944449</v>
      </c>
      <c r="U3613">
        <f t="shared" si="340"/>
        <v>30</v>
      </c>
      <c r="V3613">
        <f t="shared" si="341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 s="8">
        <f t="shared" si="337"/>
        <v>126.67</v>
      </c>
      <c r="Q3614" s="10" t="s">
        <v>8315</v>
      </c>
      <c r="R3614" s="10" t="s">
        <v>8316</v>
      </c>
      <c r="S3614" s="16">
        <f t="shared" si="338"/>
        <v>41789.726979166669</v>
      </c>
      <c r="T3614" s="16">
        <f t="shared" si="339"/>
        <v>41799.726979166669</v>
      </c>
      <c r="U3614">
        <f t="shared" si="340"/>
        <v>10</v>
      </c>
      <c r="V3614">
        <f t="shared" si="341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 s="8">
        <f t="shared" si="337"/>
        <v>62.5</v>
      </c>
      <c r="Q3615" s="10" t="s">
        <v>8315</v>
      </c>
      <c r="R3615" s="10" t="s">
        <v>8316</v>
      </c>
      <c r="S3615" s="16">
        <f t="shared" si="338"/>
        <v>41788.58997685185</v>
      </c>
      <c r="T3615" s="16">
        <f t="shared" si="339"/>
        <v>41818.58997685185</v>
      </c>
      <c r="U3615">
        <f t="shared" si="340"/>
        <v>30</v>
      </c>
      <c r="V3615">
        <f t="shared" si="341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 s="8">
        <f t="shared" si="337"/>
        <v>35.49</v>
      </c>
      <c r="Q3616" s="10" t="s">
        <v>8315</v>
      </c>
      <c r="R3616" s="10" t="s">
        <v>8316</v>
      </c>
      <c r="S3616" s="16">
        <f t="shared" si="338"/>
        <v>42144.041851851856</v>
      </c>
      <c r="T3616" s="16">
        <f t="shared" si="339"/>
        <v>42174.041851851856</v>
      </c>
      <c r="U3616">
        <f t="shared" si="340"/>
        <v>30</v>
      </c>
      <c r="V3616">
        <f t="shared" si="341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 s="8">
        <f t="shared" si="337"/>
        <v>37.08</v>
      </c>
      <c r="Q3617" s="10" t="s">
        <v>8315</v>
      </c>
      <c r="R3617" s="10" t="s">
        <v>8316</v>
      </c>
      <c r="S3617" s="16">
        <f t="shared" si="338"/>
        <v>42318.593703703707</v>
      </c>
      <c r="T3617" s="16">
        <f t="shared" si="339"/>
        <v>42348.593703703707</v>
      </c>
      <c r="U3617">
        <f t="shared" si="340"/>
        <v>30</v>
      </c>
      <c r="V3617">
        <f t="shared" si="341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 s="8">
        <f t="shared" si="337"/>
        <v>69.33</v>
      </c>
      <c r="Q3618" s="10" t="s">
        <v>8315</v>
      </c>
      <c r="R3618" s="10" t="s">
        <v>8316</v>
      </c>
      <c r="S3618" s="16">
        <f t="shared" si="338"/>
        <v>42052.949814814812</v>
      </c>
      <c r="T3618" s="16">
        <f t="shared" si="339"/>
        <v>42082.908148148148</v>
      </c>
      <c r="U3618">
        <f t="shared" si="340"/>
        <v>30</v>
      </c>
      <c r="V3618">
        <f t="shared" si="341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 s="8">
        <f t="shared" si="337"/>
        <v>17.25</v>
      </c>
      <c r="Q3619" s="10" t="s">
        <v>8315</v>
      </c>
      <c r="R3619" s="10" t="s">
        <v>8316</v>
      </c>
      <c r="S3619" s="16">
        <f t="shared" si="338"/>
        <v>42779.610289351855</v>
      </c>
      <c r="T3619" s="16">
        <f t="shared" si="339"/>
        <v>42794</v>
      </c>
      <c r="U3619">
        <f t="shared" si="340"/>
        <v>14</v>
      </c>
      <c r="V3619">
        <f t="shared" si="341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 s="8">
        <f t="shared" si="337"/>
        <v>36.07</v>
      </c>
      <c r="Q3620" s="10" t="s">
        <v>8315</v>
      </c>
      <c r="R3620" s="10" t="s">
        <v>8316</v>
      </c>
      <c r="S3620" s="16">
        <f t="shared" si="338"/>
        <v>42128.627893518518</v>
      </c>
      <c r="T3620" s="16">
        <f t="shared" si="339"/>
        <v>42158.627893518518</v>
      </c>
      <c r="U3620">
        <f t="shared" si="340"/>
        <v>30</v>
      </c>
      <c r="V3620">
        <f t="shared" si="341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 s="8">
        <f t="shared" si="337"/>
        <v>66.47</v>
      </c>
      <c r="Q3621" s="10" t="s">
        <v>8315</v>
      </c>
      <c r="R3621" s="10" t="s">
        <v>8316</v>
      </c>
      <c r="S3621" s="16">
        <f t="shared" si="338"/>
        <v>42661.132245370376</v>
      </c>
      <c r="T3621" s="16">
        <f t="shared" si="339"/>
        <v>42693.916666666672</v>
      </c>
      <c r="U3621">
        <f t="shared" si="340"/>
        <v>33</v>
      </c>
      <c r="V3621">
        <f t="shared" si="341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 s="8">
        <f t="shared" si="337"/>
        <v>56.07</v>
      </c>
      <c r="Q3622" s="10" t="s">
        <v>8315</v>
      </c>
      <c r="R3622" s="10" t="s">
        <v>8316</v>
      </c>
      <c r="S3622" s="16">
        <f t="shared" si="338"/>
        <v>42037.938206018516</v>
      </c>
      <c r="T3622" s="16">
        <f t="shared" si="339"/>
        <v>42068.166666666672</v>
      </c>
      <c r="U3622">
        <f t="shared" si="340"/>
        <v>30</v>
      </c>
      <c r="V3622">
        <f t="shared" si="341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 s="8">
        <f t="shared" si="337"/>
        <v>47.03</v>
      </c>
      <c r="Q3623" s="10" t="s">
        <v>8315</v>
      </c>
      <c r="R3623" s="10" t="s">
        <v>8316</v>
      </c>
      <c r="S3623" s="16">
        <f t="shared" si="338"/>
        <v>42619.935694444444</v>
      </c>
      <c r="T3623" s="16">
        <f t="shared" si="339"/>
        <v>42643.875</v>
      </c>
      <c r="U3623">
        <f t="shared" si="340"/>
        <v>24</v>
      </c>
      <c r="V3623">
        <f t="shared" si="341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 s="8">
        <f t="shared" si="337"/>
        <v>47.67</v>
      </c>
      <c r="Q3624" s="10" t="s">
        <v>8315</v>
      </c>
      <c r="R3624" s="10" t="s">
        <v>8316</v>
      </c>
      <c r="S3624" s="16">
        <f t="shared" si="338"/>
        <v>41877.221886574072</v>
      </c>
      <c r="T3624" s="16">
        <f t="shared" si="339"/>
        <v>41910.140972222223</v>
      </c>
      <c r="U3624">
        <f t="shared" si="340"/>
        <v>33</v>
      </c>
      <c r="V3624">
        <f t="shared" si="341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 s="8">
        <f t="shared" si="337"/>
        <v>88.24</v>
      </c>
      <c r="Q3625" s="10" t="s">
        <v>8315</v>
      </c>
      <c r="R3625" s="10" t="s">
        <v>8316</v>
      </c>
      <c r="S3625" s="16">
        <f t="shared" si="338"/>
        <v>41828.736921296295</v>
      </c>
      <c r="T3625" s="16">
        <f t="shared" si="339"/>
        <v>41846.291666666664</v>
      </c>
      <c r="U3625">
        <f t="shared" si="340"/>
        <v>18</v>
      </c>
      <c r="V3625">
        <f t="shared" si="341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 s="8">
        <f t="shared" si="337"/>
        <v>80.72</v>
      </c>
      <c r="Q3626" s="10" t="s">
        <v>8315</v>
      </c>
      <c r="R3626" s="10" t="s">
        <v>8316</v>
      </c>
      <c r="S3626" s="16">
        <f t="shared" si="338"/>
        <v>42545.774189814809</v>
      </c>
      <c r="T3626" s="16">
        <f t="shared" si="339"/>
        <v>42605.774189814809</v>
      </c>
      <c r="U3626">
        <f t="shared" si="340"/>
        <v>60</v>
      </c>
      <c r="V3626">
        <f t="shared" si="341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 s="8">
        <f t="shared" si="337"/>
        <v>39.49</v>
      </c>
      <c r="Q3627" s="10" t="s">
        <v>8315</v>
      </c>
      <c r="R3627" s="10" t="s">
        <v>8316</v>
      </c>
      <c r="S3627" s="16">
        <f t="shared" si="338"/>
        <v>42157.652511574073</v>
      </c>
      <c r="T3627" s="16">
        <f t="shared" si="339"/>
        <v>42187.652511574073</v>
      </c>
      <c r="U3627">
        <f t="shared" si="340"/>
        <v>30</v>
      </c>
      <c r="V3627">
        <f t="shared" si="341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 s="8">
        <f t="shared" si="337"/>
        <v>84.85</v>
      </c>
      <c r="Q3628" s="10" t="s">
        <v>8315</v>
      </c>
      <c r="R3628" s="10" t="s">
        <v>8316</v>
      </c>
      <c r="S3628" s="16">
        <f t="shared" si="338"/>
        <v>41846.667326388888</v>
      </c>
      <c r="T3628" s="16">
        <f t="shared" si="339"/>
        <v>41867.667326388888</v>
      </c>
      <c r="U3628">
        <f t="shared" si="340"/>
        <v>21</v>
      </c>
      <c r="V3628">
        <f t="shared" si="341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 s="8">
        <f t="shared" si="337"/>
        <v>68.97</v>
      </c>
      <c r="Q3629" s="10" t="s">
        <v>8315</v>
      </c>
      <c r="R3629" s="10" t="s">
        <v>8316</v>
      </c>
      <c r="S3629" s="16">
        <f t="shared" si="338"/>
        <v>42460.741747685184</v>
      </c>
      <c r="T3629" s="16">
        <f t="shared" si="339"/>
        <v>42511.165972222225</v>
      </c>
      <c r="U3629">
        <f t="shared" si="340"/>
        <v>50</v>
      </c>
      <c r="V3629">
        <f t="shared" si="341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 s="8">
        <f t="shared" si="337"/>
        <v>0</v>
      </c>
      <c r="Q3630" s="10" t="s">
        <v>8315</v>
      </c>
      <c r="R3630" s="10" t="s">
        <v>8357</v>
      </c>
      <c r="S3630" s="16">
        <f t="shared" si="338"/>
        <v>42291.833287037036</v>
      </c>
      <c r="T3630" s="16">
        <f t="shared" si="339"/>
        <v>42351.874953703707</v>
      </c>
      <c r="U3630">
        <f t="shared" si="340"/>
        <v>60</v>
      </c>
      <c r="V3630">
        <f t="shared" si="341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 s="8">
        <f t="shared" si="337"/>
        <v>1</v>
      </c>
      <c r="Q3631" s="10" t="s">
        <v>8315</v>
      </c>
      <c r="R3631" s="10" t="s">
        <v>8357</v>
      </c>
      <c r="S3631" s="16">
        <f t="shared" si="338"/>
        <v>42437.094490740739</v>
      </c>
      <c r="T3631" s="16">
        <f t="shared" si="339"/>
        <v>42495.708333333328</v>
      </c>
      <c r="U3631">
        <f t="shared" si="340"/>
        <v>59</v>
      </c>
      <c r="V3631">
        <f t="shared" si="341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 s="8">
        <f t="shared" si="337"/>
        <v>1</v>
      </c>
      <c r="Q3632" s="10" t="s">
        <v>8315</v>
      </c>
      <c r="R3632" s="10" t="s">
        <v>8357</v>
      </c>
      <c r="S3632" s="16">
        <f t="shared" si="338"/>
        <v>41942.84710648148</v>
      </c>
      <c r="T3632" s="16">
        <f t="shared" si="339"/>
        <v>41972.888773148152</v>
      </c>
      <c r="U3632">
        <f t="shared" si="340"/>
        <v>30</v>
      </c>
      <c r="V3632">
        <f t="shared" si="341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 s="8">
        <f t="shared" si="337"/>
        <v>147.88</v>
      </c>
      <c r="Q3633" s="10" t="s">
        <v>8315</v>
      </c>
      <c r="R3633" s="10" t="s">
        <v>8357</v>
      </c>
      <c r="S3633" s="16">
        <f t="shared" si="338"/>
        <v>41880.753437499996</v>
      </c>
      <c r="T3633" s="16">
        <f t="shared" si="339"/>
        <v>41905.165972222225</v>
      </c>
      <c r="U3633">
        <f t="shared" si="340"/>
        <v>24</v>
      </c>
      <c r="V3633">
        <f t="shared" si="341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 s="8">
        <f t="shared" si="337"/>
        <v>100</v>
      </c>
      <c r="Q3634" s="10" t="s">
        <v>8315</v>
      </c>
      <c r="R3634" s="10" t="s">
        <v>8357</v>
      </c>
      <c r="S3634" s="16">
        <f t="shared" si="338"/>
        <v>41946.936909722222</v>
      </c>
      <c r="T3634" s="16">
        <f t="shared" si="339"/>
        <v>41966.936909722222</v>
      </c>
      <c r="U3634">
        <f t="shared" si="340"/>
        <v>20</v>
      </c>
      <c r="V3634">
        <f t="shared" si="341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 s="8">
        <f t="shared" si="337"/>
        <v>56.84</v>
      </c>
      <c r="Q3635" s="10" t="s">
        <v>8315</v>
      </c>
      <c r="R3635" s="10" t="s">
        <v>8357</v>
      </c>
      <c r="S3635" s="16">
        <f t="shared" si="338"/>
        <v>42649.623460648145</v>
      </c>
      <c r="T3635" s="16">
        <f t="shared" si="339"/>
        <v>42693.041666666672</v>
      </c>
      <c r="U3635">
        <f t="shared" si="340"/>
        <v>43</v>
      </c>
      <c r="V3635">
        <f t="shared" si="341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 s="8">
        <f t="shared" si="337"/>
        <v>176.94</v>
      </c>
      <c r="Q3636" s="10" t="s">
        <v>8315</v>
      </c>
      <c r="R3636" s="10" t="s">
        <v>8357</v>
      </c>
      <c r="S3636" s="16">
        <f t="shared" si="338"/>
        <v>42701.166365740741</v>
      </c>
      <c r="T3636" s="16">
        <f t="shared" si="339"/>
        <v>42749.165972222225</v>
      </c>
      <c r="U3636">
        <f t="shared" si="340"/>
        <v>48</v>
      </c>
      <c r="V3636">
        <f t="shared" si="341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 s="8">
        <f t="shared" si="337"/>
        <v>127.6</v>
      </c>
      <c r="Q3637" s="10" t="s">
        <v>8315</v>
      </c>
      <c r="R3637" s="10" t="s">
        <v>8357</v>
      </c>
      <c r="S3637" s="16">
        <f t="shared" si="338"/>
        <v>42450.88282407407</v>
      </c>
      <c r="T3637" s="16">
        <f t="shared" si="339"/>
        <v>42480.88282407407</v>
      </c>
      <c r="U3637">
        <f t="shared" si="340"/>
        <v>30</v>
      </c>
      <c r="V3637">
        <f t="shared" si="341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 s="8">
        <f t="shared" si="337"/>
        <v>0</v>
      </c>
      <c r="Q3638" s="10" t="s">
        <v>8315</v>
      </c>
      <c r="R3638" s="10" t="s">
        <v>8357</v>
      </c>
      <c r="S3638" s="16">
        <f t="shared" si="338"/>
        <v>42226.694780092599</v>
      </c>
      <c r="T3638" s="16">
        <f t="shared" si="339"/>
        <v>42261.694780092599</v>
      </c>
      <c r="U3638">
        <f t="shared" si="340"/>
        <v>35</v>
      </c>
      <c r="V3638">
        <f t="shared" si="341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 s="8">
        <f t="shared" si="337"/>
        <v>66.14</v>
      </c>
      <c r="Q3639" s="10" t="s">
        <v>8315</v>
      </c>
      <c r="R3639" s="10" t="s">
        <v>8357</v>
      </c>
      <c r="S3639" s="16">
        <f t="shared" si="338"/>
        <v>41975.700636574074</v>
      </c>
      <c r="T3639" s="16">
        <f t="shared" si="339"/>
        <v>42005.700636574074</v>
      </c>
      <c r="U3639">
        <f t="shared" si="340"/>
        <v>30</v>
      </c>
      <c r="V3639">
        <f t="shared" si="341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 s="8">
        <f t="shared" si="337"/>
        <v>108</v>
      </c>
      <c r="Q3640" s="10" t="s">
        <v>8315</v>
      </c>
      <c r="R3640" s="10" t="s">
        <v>8357</v>
      </c>
      <c r="S3640" s="16">
        <f t="shared" si="338"/>
        <v>42053.672824074078</v>
      </c>
      <c r="T3640" s="16">
        <f t="shared" si="339"/>
        <v>42113.631157407406</v>
      </c>
      <c r="U3640">
        <f t="shared" si="340"/>
        <v>60</v>
      </c>
      <c r="V3640">
        <f t="shared" si="341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 s="8">
        <f t="shared" si="337"/>
        <v>1</v>
      </c>
      <c r="Q3641" s="10" t="s">
        <v>8315</v>
      </c>
      <c r="R3641" s="10" t="s">
        <v>8357</v>
      </c>
      <c r="S3641" s="16">
        <f t="shared" si="338"/>
        <v>42590.677152777775</v>
      </c>
      <c r="T3641" s="16">
        <f t="shared" si="339"/>
        <v>42650.632638888885</v>
      </c>
      <c r="U3641">
        <f t="shared" si="340"/>
        <v>60</v>
      </c>
      <c r="V3641">
        <f t="shared" si="341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 s="8">
        <f t="shared" si="337"/>
        <v>18.329999999999998</v>
      </c>
      <c r="Q3642" s="10" t="s">
        <v>8315</v>
      </c>
      <c r="R3642" s="10" t="s">
        <v>8357</v>
      </c>
      <c r="S3642" s="16">
        <f t="shared" si="338"/>
        <v>42104.781597222223</v>
      </c>
      <c r="T3642" s="16">
        <f t="shared" si="339"/>
        <v>42134.781597222223</v>
      </c>
      <c r="U3642">
        <f t="shared" si="340"/>
        <v>30</v>
      </c>
      <c r="V3642">
        <f t="shared" si="341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 s="8">
        <f t="shared" si="337"/>
        <v>0</v>
      </c>
      <c r="Q3643" s="10" t="s">
        <v>8315</v>
      </c>
      <c r="R3643" s="10" t="s">
        <v>8357</v>
      </c>
      <c r="S3643" s="16">
        <f t="shared" si="338"/>
        <v>41899.627071759263</v>
      </c>
      <c r="T3643" s="16">
        <f t="shared" si="339"/>
        <v>41917.208333333336</v>
      </c>
      <c r="U3643">
        <f t="shared" si="340"/>
        <v>18</v>
      </c>
      <c r="V3643">
        <f t="shared" si="341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 s="8">
        <f t="shared" si="337"/>
        <v>7.5</v>
      </c>
      <c r="Q3644" s="10" t="s">
        <v>8315</v>
      </c>
      <c r="R3644" s="10" t="s">
        <v>8357</v>
      </c>
      <c r="S3644" s="16">
        <f t="shared" si="338"/>
        <v>42297.816284722227</v>
      </c>
      <c r="T3644" s="16">
        <f t="shared" si="339"/>
        <v>42338.708333333328</v>
      </c>
      <c r="U3644">
        <f t="shared" si="340"/>
        <v>41</v>
      </c>
      <c r="V3644">
        <f t="shared" si="341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 s="8">
        <f t="shared" si="337"/>
        <v>0</v>
      </c>
      <c r="Q3645" s="10" t="s">
        <v>8315</v>
      </c>
      <c r="R3645" s="10" t="s">
        <v>8357</v>
      </c>
      <c r="S3645" s="16">
        <f t="shared" si="338"/>
        <v>42285.143969907411</v>
      </c>
      <c r="T3645" s="16">
        <f t="shared" si="339"/>
        <v>42325.185636574075</v>
      </c>
      <c r="U3645">
        <f t="shared" si="340"/>
        <v>40</v>
      </c>
      <c r="V3645">
        <f t="shared" si="341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 s="8">
        <f t="shared" si="337"/>
        <v>68.42</v>
      </c>
      <c r="Q3646" s="10" t="s">
        <v>8315</v>
      </c>
      <c r="R3646" s="10" t="s">
        <v>8357</v>
      </c>
      <c r="S3646" s="16">
        <f t="shared" si="338"/>
        <v>42409.241747685184</v>
      </c>
      <c r="T3646" s="16">
        <f t="shared" si="339"/>
        <v>42437.207638888889</v>
      </c>
      <c r="U3646">
        <f t="shared" si="340"/>
        <v>28</v>
      </c>
      <c r="V3646">
        <f t="shared" si="341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 s="8">
        <f t="shared" si="337"/>
        <v>1</v>
      </c>
      <c r="Q3647" s="10" t="s">
        <v>8315</v>
      </c>
      <c r="R3647" s="10" t="s">
        <v>8357</v>
      </c>
      <c r="S3647" s="16">
        <f t="shared" si="338"/>
        <v>42665.970347222217</v>
      </c>
      <c r="T3647" s="16">
        <f t="shared" si="339"/>
        <v>42696.012013888889</v>
      </c>
      <c r="U3647">
        <f t="shared" si="340"/>
        <v>30</v>
      </c>
      <c r="V3647">
        <f t="shared" si="341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 s="8">
        <f t="shared" si="337"/>
        <v>60.13</v>
      </c>
      <c r="Q3648" s="10" t="s">
        <v>8315</v>
      </c>
      <c r="R3648" s="10" t="s">
        <v>8357</v>
      </c>
      <c r="S3648" s="16">
        <f t="shared" si="338"/>
        <v>42140.421319444446</v>
      </c>
      <c r="T3648" s="16">
        <f t="shared" si="339"/>
        <v>42171.979166666672</v>
      </c>
      <c r="U3648">
        <f t="shared" si="340"/>
        <v>32</v>
      </c>
      <c r="V3648">
        <f t="shared" si="341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 s="8">
        <f t="shared" si="337"/>
        <v>15</v>
      </c>
      <c r="Q3649" s="10" t="s">
        <v>8315</v>
      </c>
      <c r="R3649" s="10" t="s">
        <v>8357</v>
      </c>
      <c r="S3649" s="16">
        <f t="shared" si="338"/>
        <v>42598.749155092592</v>
      </c>
      <c r="T3649" s="16">
        <f t="shared" si="339"/>
        <v>42643.749155092592</v>
      </c>
      <c r="U3649">
        <f t="shared" si="340"/>
        <v>45</v>
      </c>
      <c r="V3649">
        <f t="shared" si="341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ROUND((E3650/D3650)*100, 0)</f>
        <v>100</v>
      </c>
      <c r="P3650" s="8">
        <f t="shared" ref="P3650:P3713" si="343">IFERROR(ROUND(E3650/L3650, 2), 0)</f>
        <v>550.04</v>
      </c>
      <c r="Q3650" s="10" t="s">
        <v>8315</v>
      </c>
      <c r="R3650" s="10" t="s">
        <v>8316</v>
      </c>
      <c r="S3650" s="16">
        <f t="shared" ref="S3650:S3713" si="344">(J3650/60/60/24)+DATE(1970, 1, 1)</f>
        <v>41887.292187500003</v>
      </c>
      <c r="T3650" s="16">
        <f t="shared" ref="T3650:T3713" si="345">(I3650/60/60/24)+DATE(1970, 1, 1)</f>
        <v>41917.292187500003</v>
      </c>
      <c r="U3650">
        <f t="shared" si="340"/>
        <v>30</v>
      </c>
      <c r="V3650">
        <f t="shared" si="341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 s="8">
        <f t="shared" si="343"/>
        <v>97.5</v>
      </c>
      <c r="Q3651" s="10" t="s">
        <v>8315</v>
      </c>
      <c r="R3651" s="10" t="s">
        <v>8316</v>
      </c>
      <c r="S3651" s="16">
        <f t="shared" si="344"/>
        <v>41780.712893518517</v>
      </c>
      <c r="T3651" s="16">
        <f t="shared" si="345"/>
        <v>41806.712893518517</v>
      </c>
      <c r="U3651">
        <f t="shared" ref="U3651:U3714" si="346">ROUND(T3651-S3651, 0)</f>
        <v>26</v>
      </c>
      <c r="V3651">
        <f t="shared" ref="V3651:V3714" si="347">YEAR($S3651)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 s="8">
        <f t="shared" si="343"/>
        <v>29.41</v>
      </c>
      <c r="Q3652" s="10" t="s">
        <v>8315</v>
      </c>
      <c r="R3652" s="10" t="s">
        <v>8316</v>
      </c>
      <c r="S3652" s="16">
        <f t="shared" si="344"/>
        <v>42381.478981481487</v>
      </c>
      <c r="T3652" s="16">
        <f t="shared" si="345"/>
        <v>42402.478981481487</v>
      </c>
      <c r="U3652">
        <f t="shared" si="346"/>
        <v>21</v>
      </c>
      <c r="V3652">
        <f t="shared" si="347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 s="8">
        <f t="shared" si="343"/>
        <v>57.78</v>
      </c>
      <c r="Q3653" s="10" t="s">
        <v>8315</v>
      </c>
      <c r="R3653" s="10" t="s">
        <v>8316</v>
      </c>
      <c r="S3653" s="16">
        <f t="shared" si="344"/>
        <v>41828.646319444444</v>
      </c>
      <c r="T3653" s="16">
        <f t="shared" si="345"/>
        <v>41861.665972222225</v>
      </c>
      <c r="U3653">
        <f t="shared" si="346"/>
        <v>33</v>
      </c>
      <c r="V3653">
        <f t="shared" si="347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 s="8">
        <f t="shared" si="343"/>
        <v>44.24</v>
      </c>
      <c r="Q3654" s="10" t="s">
        <v>8315</v>
      </c>
      <c r="R3654" s="10" t="s">
        <v>8316</v>
      </c>
      <c r="S3654" s="16">
        <f t="shared" si="344"/>
        <v>42596.644699074073</v>
      </c>
      <c r="T3654" s="16">
        <f t="shared" si="345"/>
        <v>42607.165972222225</v>
      </c>
      <c r="U3654">
        <f t="shared" si="346"/>
        <v>11</v>
      </c>
      <c r="V3654">
        <f t="shared" si="347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 s="8">
        <f t="shared" si="343"/>
        <v>60.91</v>
      </c>
      <c r="Q3655" s="10" t="s">
        <v>8315</v>
      </c>
      <c r="R3655" s="10" t="s">
        <v>8316</v>
      </c>
      <c r="S3655" s="16">
        <f t="shared" si="344"/>
        <v>42191.363506944443</v>
      </c>
      <c r="T3655" s="16">
        <f t="shared" si="345"/>
        <v>42221.363506944443</v>
      </c>
      <c r="U3655">
        <f t="shared" si="346"/>
        <v>30</v>
      </c>
      <c r="V3655">
        <f t="shared" si="347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 s="8">
        <f t="shared" si="343"/>
        <v>68.84</v>
      </c>
      <c r="Q3656" s="10" t="s">
        <v>8315</v>
      </c>
      <c r="R3656" s="10" t="s">
        <v>8316</v>
      </c>
      <c r="S3656" s="16">
        <f t="shared" si="344"/>
        <v>42440.416504629626</v>
      </c>
      <c r="T3656" s="16">
        <f t="shared" si="345"/>
        <v>42463.708333333328</v>
      </c>
      <c r="U3656">
        <f t="shared" si="346"/>
        <v>23</v>
      </c>
      <c r="V3656">
        <f t="shared" si="347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 s="8">
        <f t="shared" si="343"/>
        <v>73.58</v>
      </c>
      <c r="Q3657" s="10" t="s">
        <v>8315</v>
      </c>
      <c r="R3657" s="10" t="s">
        <v>8316</v>
      </c>
      <c r="S3657" s="16">
        <f t="shared" si="344"/>
        <v>42173.803217592591</v>
      </c>
      <c r="T3657" s="16">
        <f t="shared" si="345"/>
        <v>42203.290972222225</v>
      </c>
      <c r="U3657">
        <f t="shared" si="346"/>
        <v>29</v>
      </c>
      <c r="V3657">
        <f t="shared" si="347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 s="8">
        <f t="shared" si="343"/>
        <v>115.02</v>
      </c>
      <c r="Q3658" s="10" t="s">
        <v>8315</v>
      </c>
      <c r="R3658" s="10" t="s">
        <v>8316</v>
      </c>
      <c r="S3658" s="16">
        <f t="shared" si="344"/>
        <v>42737.910138888896</v>
      </c>
      <c r="T3658" s="16">
        <f t="shared" si="345"/>
        <v>42767.957638888889</v>
      </c>
      <c r="U3658">
        <f t="shared" si="346"/>
        <v>30</v>
      </c>
      <c r="V3658">
        <f t="shared" si="347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 s="8">
        <f t="shared" si="343"/>
        <v>110.75</v>
      </c>
      <c r="Q3659" s="10" t="s">
        <v>8315</v>
      </c>
      <c r="R3659" s="10" t="s">
        <v>8316</v>
      </c>
      <c r="S3659" s="16">
        <f t="shared" si="344"/>
        <v>42499.629849537043</v>
      </c>
      <c r="T3659" s="16">
        <f t="shared" si="345"/>
        <v>42522.904166666667</v>
      </c>
      <c r="U3659">
        <f t="shared" si="346"/>
        <v>23</v>
      </c>
      <c r="V3659">
        <f t="shared" si="347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 s="8">
        <f t="shared" si="343"/>
        <v>75.5</v>
      </c>
      <c r="Q3660" s="10" t="s">
        <v>8315</v>
      </c>
      <c r="R3660" s="10" t="s">
        <v>8316</v>
      </c>
      <c r="S3660" s="16">
        <f t="shared" si="344"/>
        <v>41775.858564814815</v>
      </c>
      <c r="T3660" s="16">
        <f t="shared" si="345"/>
        <v>41822.165972222225</v>
      </c>
      <c r="U3660">
        <f t="shared" si="346"/>
        <v>46</v>
      </c>
      <c r="V3660">
        <f t="shared" si="347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 s="8">
        <f t="shared" si="343"/>
        <v>235.46</v>
      </c>
      <c r="Q3661" s="10" t="s">
        <v>8315</v>
      </c>
      <c r="R3661" s="10" t="s">
        <v>8316</v>
      </c>
      <c r="S3661" s="16">
        <f t="shared" si="344"/>
        <v>42055.277199074073</v>
      </c>
      <c r="T3661" s="16">
        <f t="shared" si="345"/>
        <v>42082.610416666663</v>
      </c>
      <c r="U3661">
        <f t="shared" si="346"/>
        <v>27</v>
      </c>
      <c r="V3661">
        <f t="shared" si="347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 s="8">
        <f t="shared" si="343"/>
        <v>11.36</v>
      </c>
      <c r="Q3662" s="10" t="s">
        <v>8315</v>
      </c>
      <c r="R3662" s="10" t="s">
        <v>8316</v>
      </c>
      <c r="S3662" s="16">
        <f t="shared" si="344"/>
        <v>41971.881076388891</v>
      </c>
      <c r="T3662" s="16">
        <f t="shared" si="345"/>
        <v>41996.881076388891</v>
      </c>
      <c r="U3662">
        <f t="shared" si="346"/>
        <v>25</v>
      </c>
      <c r="V3662">
        <f t="shared" si="347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 s="8">
        <f t="shared" si="343"/>
        <v>92.5</v>
      </c>
      <c r="Q3663" s="10" t="s">
        <v>8315</v>
      </c>
      <c r="R3663" s="10" t="s">
        <v>8316</v>
      </c>
      <c r="S3663" s="16">
        <f t="shared" si="344"/>
        <v>42447.896666666667</v>
      </c>
      <c r="T3663" s="16">
        <f t="shared" si="345"/>
        <v>42470.166666666672</v>
      </c>
      <c r="U3663">
        <f t="shared" si="346"/>
        <v>22</v>
      </c>
      <c r="V3663">
        <f t="shared" si="347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 s="8">
        <f t="shared" si="343"/>
        <v>202.85</v>
      </c>
      <c r="Q3664" s="10" t="s">
        <v>8315</v>
      </c>
      <c r="R3664" s="10" t="s">
        <v>8316</v>
      </c>
      <c r="S3664" s="16">
        <f t="shared" si="344"/>
        <v>42064.220069444447</v>
      </c>
      <c r="T3664" s="16">
        <f t="shared" si="345"/>
        <v>42094.178402777776</v>
      </c>
      <c r="U3664">
        <f t="shared" si="346"/>
        <v>30</v>
      </c>
      <c r="V3664">
        <f t="shared" si="347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 s="8">
        <f t="shared" si="343"/>
        <v>26</v>
      </c>
      <c r="Q3665" s="10" t="s">
        <v>8315</v>
      </c>
      <c r="R3665" s="10" t="s">
        <v>8316</v>
      </c>
      <c r="S3665" s="16">
        <f t="shared" si="344"/>
        <v>42665.451736111107</v>
      </c>
      <c r="T3665" s="16">
        <f t="shared" si="345"/>
        <v>42725.493402777778</v>
      </c>
      <c r="U3665">
        <f t="shared" si="346"/>
        <v>60</v>
      </c>
      <c r="V3665">
        <f t="shared" si="347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 s="8">
        <f t="shared" si="343"/>
        <v>46.05</v>
      </c>
      <c r="Q3666" s="10" t="s">
        <v>8315</v>
      </c>
      <c r="R3666" s="10" t="s">
        <v>8316</v>
      </c>
      <c r="S3666" s="16">
        <f t="shared" si="344"/>
        <v>42523.248715277776</v>
      </c>
      <c r="T3666" s="16">
        <f t="shared" si="345"/>
        <v>42537.248715277776</v>
      </c>
      <c r="U3666">
        <f t="shared" si="346"/>
        <v>14</v>
      </c>
      <c r="V3666">
        <f t="shared" si="347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 s="8">
        <f t="shared" si="343"/>
        <v>51</v>
      </c>
      <c r="Q3667" s="10" t="s">
        <v>8315</v>
      </c>
      <c r="R3667" s="10" t="s">
        <v>8316</v>
      </c>
      <c r="S3667" s="16">
        <f t="shared" si="344"/>
        <v>42294.808124999996</v>
      </c>
      <c r="T3667" s="16">
        <f t="shared" si="345"/>
        <v>42305.829166666663</v>
      </c>
      <c r="U3667">
        <f t="shared" si="346"/>
        <v>11</v>
      </c>
      <c r="V3667">
        <f t="shared" si="347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 s="8">
        <f t="shared" si="343"/>
        <v>31.58</v>
      </c>
      <c r="Q3668" s="10" t="s">
        <v>8315</v>
      </c>
      <c r="R3668" s="10" t="s">
        <v>8316</v>
      </c>
      <c r="S3668" s="16">
        <f t="shared" si="344"/>
        <v>41822.90488425926</v>
      </c>
      <c r="T3668" s="16">
        <f t="shared" si="345"/>
        <v>41844.291666666664</v>
      </c>
      <c r="U3668">
        <f t="shared" si="346"/>
        <v>21</v>
      </c>
      <c r="V3668">
        <f t="shared" si="347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 s="8">
        <f t="shared" si="343"/>
        <v>53.36</v>
      </c>
      <c r="Q3669" s="10" t="s">
        <v>8315</v>
      </c>
      <c r="R3669" s="10" t="s">
        <v>8316</v>
      </c>
      <c r="S3669" s="16">
        <f t="shared" si="344"/>
        <v>42173.970127314817</v>
      </c>
      <c r="T3669" s="16">
        <f t="shared" si="345"/>
        <v>42203.970127314817</v>
      </c>
      <c r="U3669">
        <f t="shared" si="346"/>
        <v>30</v>
      </c>
      <c r="V3669">
        <f t="shared" si="347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 s="8">
        <f t="shared" si="343"/>
        <v>36.96</v>
      </c>
      <c r="Q3670" s="10" t="s">
        <v>8315</v>
      </c>
      <c r="R3670" s="10" t="s">
        <v>8316</v>
      </c>
      <c r="S3670" s="16">
        <f t="shared" si="344"/>
        <v>42185.556157407409</v>
      </c>
      <c r="T3670" s="16">
        <f t="shared" si="345"/>
        <v>42208.772916666669</v>
      </c>
      <c r="U3670">
        <f t="shared" si="346"/>
        <v>23</v>
      </c>
      <c r="V3670">
        <f t="shared" si="347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 s="8">
        <f t="shared" si="343"/>
        <v>81.290000000000006</v>
      </c>
      <c r="Q3671" s="10" t="s">
        <v>8315</v>
      </c>
      <c r="R3671" s="10" t="s">
        <v>8316</v>
      </c>
      <c r="S3671" s="16">
        <f t="shared" si="344"/>
        <v>42136.675196759257</v>
      </c>
      <c r="T3671" s="16">
        <f t="shared" si="345"/>
        <v>42166.675196759257</v>
      </c>
      <c r="U3671">
        <f t="shared" si="346"/>
        <v>30</v>
      </c>
      <c r="V3671">
        <f t="shared" si="347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 s="8">
        <f t="shared" si="343"/>
        <v>20.079999999999998</v>
      </c>
      <c r="Q3672" s="10" t="s">
        <v>8315</v>
      </c>
      <c r="R3672" s="10" t="s">
        <v>8316</v>
      </c>
      <c r="S3672" s="16">
        <f t="shared" si="344"/>
        <v>42142.514016203699</v>
      </c>
      <c r="T3672" s="16">
        <f t="shared" si="345"/>
        <v>42155.958333333328</v>
      </c>
      <c r="U3672">
        <f t="shared" si="346"/>
        <v>13</v>
      </c>
      <c r="V3672">
        <f t="shared" si="347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 s="8">
        <f t="shared" si="343"/>
        <v>88.25</v>
      </c>
      <c r="Q3673" s="10" t="s">
        <v>8315</v>
      </c>
      <c r="R3673" s="10" t="s">
        <v>8316</v>
      </c>
      <c r="S3673" s="16">
        <f t="shared" si="344"/>
        <v>41820.62809027778</v>
      </c>
      <c r="T3673" s="16">
        <f t="shared" si="345"/>
        <v>41841.165972222225</v>
      </c>
      <c r="U3673">
        <f t="shared" si="346"/>
        <v>21</v>
      </c>
      <c r="V3673">
        <f t="shared" si="347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 s="8">
        <f t="shared" si="343"/>
        <v>53.44</v>
      </c>
      <c r="Q3674" s="10" t="s">
        <v>8315</v>
      </c>
      <c r="R3674" s="10" t="s">
        <v>8316</v>
      </c>
      <c r="S3674" s="16">
        <f t="shared" si="344"/>
        <v>41878.946574074071</v>
      </c>
      <c r="T3674" s="16">
        <f t="shared" si="345"/>
        <v>41908.946574074071</v>
      </c>
      <c r="U3674">
        <f t="shared" si="346"/>
        <v>30</v>
      </c>
      <c r="V3674">
        <f t="shared" si="347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 s="8">
        <f t="shared" si="343"/>
        <v>39.869999999999997</v>
      </c>
      <c r="Q3675" s="10" t="s">
        <v>8315</v>
      </c>
      <c r="R3675" s="10" t="s">
        <v>8316</v>
      </c>
      <c r="S3675" s="16">
        <f t="shared" si="344"/>
        <v>41914.295104166667</v>
      </c>
      <c r="T3675" s="16">
        <f t="shared" si="345"/>
        <v>41948.536111111112</v>
      </c>
      <c r="U3675">
        <f t="shared" si="346"/>
        <v>34</v>
      </c>
      <c r="V3675">
        <f t="shared" si="347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 s="8">
        <f t="shared" si="343"/>
        <v>145.16</v>
      </c>
      <c r="Q3676" s="10" t="s">
        <v>8315</v>
      </c>
      <c r="R3676" s="10" t="s">
        <v>8316</v>
      </c>
      <c r="S3676" s="16">
        <f t="shared" si="344"/>
        <v>42556.873020833329</v>
      </c>
      <c r="T3676" s="16">
        <f t="shared" si="345"/>
        <v>42616.873020833329</v>
      </c>
      <c r="U3676">
        <f t="shared" si="346"/>
        <v>60</v>
      </c>
      <c r="V3676">
        <f t="shared" si="347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 s="8">
        <f t="shared" si="343"/>
        <v>23.33</v>
      </c>
      <c r="Q3677" s="10" t="s">
        <v>8315</v>
      </c>
      <c r="R3677" s="10" t="s">
        <v>8316</v>
      </c>
      <c r="S3677" s="16">
        <f t="shared" si="344"/>
        <v>42493.597013888888</v>
      </c>
      <c r="T3677" s="16">
        <f t="shared" si="345"/>
        <v>42505.958333333328</v>
      </c>
      <c r="U3677">
        <f t="shared" si="346"/>
        <v>12</v>
      </c>
      <c r="V3677">
        <f t="shared" si="347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 s="8">
        <f t="shared" si="343"/>
        <v>64.38</v>
      </c>
      <c r="Q3678" s="10" t="s">
        <v>8315</v>
      </c>
      <c r="R3678" s="10" t="s">
        <v>8316</v>
      </c>
      <c r="S3678" s="16">
        <f t="shared" si="344"/>
        <v>41876.815787037034</v>
      </c>
      <c r="T3678" s="16">
        <f t="shared" si="345"/>
        <v>41894.815787037034</v>
      </c>
      <c r="U3678">
        <f t="shared" si="346"/>
        <v>18</v>
      </c>
      <c r="V3678">
        <f t="shared" si="347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 s="8">
        <f t="shared" si="343"/>
        <v>62.05</v>
      </c>
      <c r="Q3679" s="10" t="s">
        <v>8315</v>
      </c>
      <c r="R3679" s="10" t="s">
        <v>8316</v>
      </c>
      <c r="S3679" s="16">
        <f t="shared" si="344"/>
        <v>41802.574282407404</v>
      </c>
      <c r="T3679" s="16">
        <f t="shared" si="345"/>
        <v>41823.165972222225</v>
      </c>
      <c r="U3679">
        <f t="shared" si="346"/>
        <v>21</v>
      </c>
      <c r="V3679">
        <f t="shared" si="347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 s="8">
        <f t="shared" si="343"/>
        <v>66.13</v>
      </c>
      <c r="Q3680" s="10" t="s">
        <v>8315</v>
      </c>
      <c r="R3680" s="10" t="s">
        <v>8316</v>
      </c>
      <c r="S3680" s="16">
        <f t="shared" si="344"/>
        <v>42120.531226851846</v>
      </c>
      <c r="T3680" s="16">
        <f t="shared" si="345"/>
        <v>42155.531226851846</v>
      </c>
      <c r="U3680">
        <f t="shared" si="346"/>
        <v>35</v>
      </c>
      <c r="V3680">
        <f t="shared" si="347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 s="8">
        <f t="shared" si="343"/>
        <v>73.400000000000006</v>
      </c>
      <c r="Q3681" s="10" t="s">
        <v>8315</v>
      </c>
      <c r="R3681" s="10" t="s">
        <v>8316</v>
      </c>
      <c r="S3681" s="16">
        <f t="shared" si="344"/>
        <v>41786.761354166665</v>
      </c>
      <c r="T3681" s="16">
        <f t="shared" si="345"/>
        <v>41821.207638888889</v>
      </c>
      <c r="U3681">
        <f t="shared" si="346"/>
        <v>34</v>
      </c>
      <c r="V3681">
        <f t="shared" si="347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 s="8">
        <f t="shared" si="343"/>
        <v>99.5</v>
      </c>
      <c r="Q3682" s="10" t="s">
        <v>8315</v>
      </c>
      <c r="R3682" s="10" t="s">
        <v>8316</v>
      </c>
      <c r="S3682" s="16">
        <f t="shared" si="344"/>
        <v>42627.454097222217</v>
      </c>
      <c r="T3682" s="16">
        <f t="shared" si="345"/>
        <v>42648.454097222217</v>
      </c>
      <c r="U3682">
        <f t="shared" si="346"/>
        <v>21</v>
      </c>
      <c r="V3682">
        <f t="shared" si="347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 s="8">
        <f t="shared" si="343"/>
        <v>62.17</v>
      </c>
      <c r="Q3683" s="10" t="s">
        <v>8315</v>
      </c>
      <c r="R3683" s="10" t="s">
        <v>8316</v>
      </c>
      <c r="S3683" s="16">
        <f t="shared" si="344"/>
        <v>42374.651504629626</v>
      </c>
      <c r="T3683" s="16">
        <f t="shared" si="345"/>
        <v>42384.651504629626</v>
      </c>
      <c r="U3683">
        <f t="shared" si="346"/>
        <v>10</v>
      </c>
      <c r="V3683">
        <f t="shared" si="347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 s="8">
        <f t="shared" si="343"/>
        <v>62.33</v>
      </c>
      <c r="Q3684" s="10" t="s">
        <v>8315</v>
      </c>
      <c r="R3684" s="10" t="s">
        <v>8316</v>
      </c>
      <c r="S3684" s="16">
        <f t="shared" si="344"/>
        <v>41772.685393518521</v>
      </c>
      <c r="T3684" s="16">
        <f t="shared" si="345"/>
        <v>41806.290972222225</v>
      </c>
      <c r="U3684">
        <f t="shared" si="346"/>
        <v>34</v>
      </c>
      <c r="V3684">
        <f t="shared" si="347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 s="8">
        <f t="shared" si="343"/>
        <v>58.79</v>
      </c>
      <c r="Q3685" s="10" t="s">
        <v>8315</v>
      </c>
      <c r="R3685" s="10" t="s">
        <v>8316</v>
      </c>
      <c r="S3685" s="16">
        <f t="shared" si="344"/>
        <v>42633.116851851853</v>
      </c>
      <c r="T3685" s="16">
        <f t="shared" si="345"/>
        <v>42663.116851851853</v>
      </c>
      <c r="U3685">
        <f t="shared" si="346"/>
        <v>30</v>
      </c>
      <c r="V3685">
        <f t="shared" si="347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 s="8">
        <f t="shared" si="343"/>
        <v>45.35</v>
      </c>
      <c r="Q3686" s="10" t="s">
        <v>8315</v>
      </c>
      <c r="R3686" s="10" t="s">
        <v>8316</v>
      </c>
      <c r="S3686" s="16">
        <f t="shared" si="344"/>
        <v>42219.180393518516</v>
      </c>
      <c r="T3686" s="16">
        <f t="shared" si="345"/>
        <v>42249.180393518516</v>
      </c>
      <c r="U3686">
        <f t="shared" si="346"/>
        <v>30</v>
      </c>
      <c r="V3686">
        <f t="shared" si="347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 s="8">
        <f t="shared" si="343"/>
        <v>41.94</v>
      </c>
      <c r="Q3687" s="10" t="s">
        <v>8315</v>
      </c>
      <c r="R3687" s="10" t="s">
        <v>8316</v>
      </c>
      <c r="S3687" s="16">
        <f t="shared" si="344"/>
        <v>41753.593275462961</v>
      </c>
      <c r="T3687" s="16">
        <f t="shared" si="345"/>
        <v>41778.875</v>
      </c>
      <c r="U3687">
        <f t="shared" si="346"/>
        <v>25</v>
      </c>
      <c r="V3687">
        <f t="shared" si="347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 s="8">
        <f t="shared" si="343"/>
        <v>59.17</v>
      </c>
      <c r="Q3688" s="10" t="s">
        <v>8315</v>
      </c>
      <c r="R3688" s="10" t="s">
        <v>8316</v>
      </c>
      <c r="S3688" s="16">
        <f t="shared" si="344"/>
        <v>42230.662731481483</v>
      </c>
      <c r="T3688" s="16">
        <f t="shared" si="345"/>
        <v>42245.165972222225</v>
      </c>
      <c r="U3688">
        <f t="shared" si="346"/>
        <v>15</v>
      </c>
      <c r="V3688">
        <f t="shared" si="347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 s="8">
        <f t="shared" si="343"/>
        <v>200.49</v>
      </c>
      <c r="Q3689" s="10" t="s">
        <v>8315</v>
      </c>
      <c r="R3689" s="10" t="s">
        <v>8316</v>
      </c>
      <c r="S3689" s="16">
        <f t="shared" si="344"/>
        <v>41787.218229166669</v>
      </c>
      <c r="T3689" s="16">
        <f t="shared" si="345"/>
        <v>41817.218229166669</v>
      </c>
      <c r="U3689">
        <f t="shared" si="346"/>
        <v>30</v>
      </c>
      <c r="V3689">
        <f t="shared" si="347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 s="8">
        <f t="shared" si="343"/>
        <v>83.97</v>
      </c>
      <c r="Q3690" s="10" t="s">
        <v>8315</v>
      </c>
      <c r="R3690" s="10" t="s">
        <v>8316</v>
      </c>
      <c r="S3690" s="16">
        <f t="shared" si="344"/>
        <v>41829.787083333329</v>
      </c>
      <c r="T3690" s="16">
        <f t="shared" si="345"/>
        <v>41859.787083333329</v>
      </c>
      <c r="U3690">
        <f t="shared" si="346"/>
        <v>30</v>
      </c>
      <c r="V3690">
        <f t="shared" si="347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 s="8">
        <f t="shared" si="343"/>
        <v>57.26</v>
      </c>
      <c r="Q3691" s="10" t="s">
        <v>8315</v>
      </c>
      <c r="R3691" s="10" t="s">
        <v>8316</v>
      </c>
      <c r="S3691" s="16">
        <f t="shared" si="344"/>
        <v>42147.826840277776</v>
      </c>
      <c r="T3691" s="16">
        <f t="shared" si="345"/>
        <v>42176.934027777781</v>
      </c>
      <c r="U3691">
        <f t="shared" si="346"/>
        <v>29</v>
      </c>
      <c r="V3691">
        <f t="shared" si="347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 s="8">
        <f t="shared" si="343"/>
        <v>58.06</v>
      </c>
      <c r="Q3692" s="10" t="s">
        <v>8315</v>
      </c>
      <c r="R3692" s="10" t="s">
        <v>8316</v>
      </c>
      <c r="S3692" s="16">
        <f t="shared" si="344"/>
        <v>41940.598182870373</v>
      </c>
      <c r="T3692" s="16">
        <f t="shared" si="345"/>
        <v>41970.639849537038</v>
      </c>
      <c r="U3692">
        <f t="shared" si="346"/>
        <v>30</v>
      </c>
      <c r="V3692">
        <f t="shared" si="347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 s="8">
        <f t="shared" si="343"/>
        <v>186.8</v>
      </c>
      <c r="Q3693" s="10" t="s">
        <v>8315</v>
      </c>
      <c r="R3693" s="10" t="s">
        <v>8316</v>
      </c>
      <c r="S3693" s="16">
        <f t="shared" si="344"/>
        <v>42020.700567129628</v>
      </c>
      <c r="T3693" s="16">
        <f t="shared" si="345"/>
        <v>42065.207638888889</v>
      </c>
      <c r="U3693">
        <f t="shared" si="346"/>
        <v>45</v>
      </c>
      <c r="V3693">
        <f t="shared" si="347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 s="8">
        <f t="shared" si="343"/>
        <v>74.12</v>
      </c>
      <c r="Q3694" s="10" t="s">
        <v>8315</v>
      </c>
      <c r="R3694" s="10" t="s">
        <v>8316</v>
      </c>
      <c r="S3694" s="16">
        <f t="shared" si="344"/>
        <v>41891.96503472222</v>
      </c>
      <c r="T3694" s="16">
        <f t="shared" si="345"/>
        <v>41901</v>
      </c>
      <c r="U3694">
        <f t="shared" si="346"/>
        <v>9</v>
      </c>
      <c r="V3694">
        <f t="shared" si="347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 s="8">
        <f t="shared" si="343"/>
        <v>30.71</v>
      </c>
      <c r="Q3695" s="10" t="s">
        <v>8315</v>
      </c>
      <c r="R3695" s="10" t="s">
        <v>8316</v>
      </c>
      <c r="S3695" s="16">
        <f t="shared" si="344"/>
        <v>42309.191307870366</v>
      </c>
      <c r="T3695" s="16">
        <f t="shared" si="345"/>
        <v>42338.9375</v>
      </c>
      <c r="U3695">
        <f t="shared" si="346"/>
        <v>30</v>
      </c>
      <c r="V3695">
        <f t="shared" si="347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 s="8">
        <f t="shared" si="343"/>
        <v>62.67</v>
      </c>
      <c r="Q3696" s="10" t="s">
        <v>8315</v>
      </c>
      <c r="R3696" s="10" t="s">
        <v>8316</v>
      </c>
      <c r="S3696" s="16">
        <f t="shared" si="344"/>
        <v>42490.133877314816</v>
      </c>
      <c r="T3696" s="16">
        <f t="shared" si="345"/>
        <v>42527.083333333328</v>
      </c>
      <c r="U3696">
        <f t="shared" si="346"/>
        <v>37</v>
      </c>
      <c r="V3696">
        <f t="shared" si="347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 s="8">
        <f t="shared" si="343"/>
        <v>121.36</v>
      </c>
      <c r="Q3697" s="10" t="s">
        <v>8315</v>
      </c>
      <c r="R3697" s="10" t="s">
        <v>8316</v>
      </c>
      <c r="S3697" s="16">
        <f t="shared" si="344"/>
        <v>41995.870486111111</v>
      </c>
      <c r="T3697" s="16">
        <f t="shared" si="345"/>
        <v>42015.870486111111</v>
      </c>
      <c r="U3697">
        <f t="shared" si="346"/>
        <v>20</v>
      </c>
      <c r="V3697">
        <f t="shared" si="347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 s="8">
        <f t="shared" si="343"/>
        <v>39.74</v>
      </c>
      <c r="Q3698" s="10" t="s">
        <v>8315</v>
      </c>
      <c r="R3698" s="10" t="s">
        <v>8316</v>
      </c>
      <c r="S3698" s="16">
        <f t="shared" si="344"/>
        <v>41988.617083333331</v>
      </c>
      <c r="T3698" s="16">
        <f t="shared" si="345"/>
        <v>42048.617083333331</v>
      </c>
      <c r="U3698">
        <f t="shared" si="346"/>
        <v>60</v>
      </c>
      <c r="V3698">
        <f t="shared" si="347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 s="8">
        <f t="shared" si="343"/>
        <v>72</v>
      </c>
      <c r="Q3699" s="10" t="s">
        <v>8315</v>
      </c>
      <c r="R3699" s="10" t="s">
        <v>8316</v>
      </c>
      <c r="S3699" s="16">
        <f t="shared" si="344"/>
        <v>42479.465833333335</v>
      </c>
      <c r="T3699" s="16">
        <f t="shared" si="345"/>
        <v>42500.465833333335</v>
      </c>
      <c r="U3699">
        <f t="shared" si="346"/>
        <v>21</v>
      </c>
      <c r="V3699">
        <f t="shared" si="347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 s="8">
        <f t="shared" si="343"/>
        <v>40.630000000000003</v>
      </c>
      <c r="Q3700" s="10" t="s">
        <v>8315</v>
      </c>
      <c r="R3700" s="10" t="s">
        <v>8316</v>
      </c>
      <c r="S3700" s="16">
        <f t="shared" si="344"/>
        <v>42401.806562500002</v>
      </c>
      <c r="T3700" s="16">
        <f t="shared" si="345"/>
        <v>42431.806562500002</v>
      </c>
      <c r="U3700">
        <f t="shared" si="346"/>
        <v>30</v>
      </c>
      <c r="V3700">
        <f t="shared" si="347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 s="8">
        <f t="shared" si="343"/>
        <v>63</v>
      </c>
      <c r="Q3701" s="10" t="s">
        <v>8315</v>
      </c>
      <c r="R3701" s="10" t="s">
        <v>8316</v>
      </c>
      <c r="S3701" s="16">
        <f t="shared" si="344"/>
        <v>41897.602037037039</v>
      </c>
      <c r="T3701" s="16">
        <f t="shared" si="345"/>
        <v>41927.602037037039</v>
      </c>
      <c r="U3701">
        <f t="shared" si="346"/>
        <v>30</v>
      </c>
      <c r="V3701">
        <f t="shared" si="347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 s="8">
        <f t="shared" si="343"/>
        <v>33.67</v>
      </c>
      <c r="Q3702" s="10" t="s">
        <v>8315</v>
      </c>
      <c r="R3702" s="10" t="s">
        <v>8316</v>
      </c>
      <c r="S3702" s="16">
        <f t="shared" si="344"/>
        <v>41882.585648148146</v>
      </c>
      <c r="T3702" s="16">
        <f t="shared" si="345"/>
        <v>41912.666666666664</v>
      </c>
      <c r="U3702">
        <f t="shared" si="346"/>
        <v>30</v>
      </c>
      <c r="V3702">
        <f t="shared" si="347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 s="8">
        <f t="shared" si="343"/>
        <v>38.590000000000003</v>
      </c>
      <c r="Q3703" s="10" t="s">
        <v>8315</v>
      </c>
      <c r="R3703" s="10" t="s">
        <v>8316</v>
      </c>
      <c r="S3703" s="16">
        <f t="shared" si="344"/>
        <v>42129.541585648149</v>
      </c>
      <c r="T3703" s="16">
        <f t="shared" si="345"/>
        <v>42159.541585648149</v>
      </c>
      <c r="U3703">
        <f t="shared" si="346"/>
        <v>30</v>
      </c>
      <c r="V3703">
        <f t="shared" si="347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 s="8">
        <f t="shared" si="343"/>
        <v>155.94999999999999</v>
      </c>
      <c r="Q3704" s="10" t="s">
        <v>8315</v>
      </c>
      <c r="R3704" s="10" t="s">
        <v>8316</v>
      </c>
      <c r="S3704" s="16">
        <f t="shared" si="344"/>
        <v>42524.53800925926</v>
      </c>
      <c r="T3704" s="16">
        <f t="shared" si="345"/>
        <v>42561.957638888889</v>
      </c>
      <c r="U3704">
        <f t="shared" si="346"/>
        <v>37</v>
      </c>
      <c r="V3704">
        <f t="shared" si="347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 s="8">
        <f t="shared" si="343"/>
        <v>43.2</v>
      </c>
      <c r="Q3705" s="10" t="s">
        <v>8315</v>
      </c>
      <c r="R3705" s="10" t="s">
        <v>8316</v>
      </c>
      <c r="S3705" s="16">
        <f t="shared" si="344"/>
        <v>42556.504490740743</v>
      </c>
      <c r="T3705" s="16">
        <f t="shared" si="345"/>
        <v>42595.290972222225</v>
      </c>
      <c r="U3705">
        <f t="shared" si="346"/>
        <v>39</v>
      </c>
      <c r="V3705">
        <f t="shared" si="347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 s="8">
        <f t="shared" si="343"/>
        <v>15.15</v>
      </c>
      <c r="Q3706" s="10" t="s">
        <v>8315</v>
      </c>
      <c r="R3706" s="10" t="s">
        <v>8316</v>
      </c>
      <c r="S3706" s="16">
        <f t="shared" si="344"/>
        <v>42461.689745370371</v>
      </c>
      <c r="T3706" s="16">
        <f t="shared" si="345"/>
        <v>42521.689745370371</v>
      </c>
      <c r="U3706">
        <f t="shared" si="346"/>
        <v>60</v>
      </c>
      <c r="V3706">
        <f t="shared" si="347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 s="8">
        <f t="shared" si="343"/>
        <v>83.57</v>
      </c>
      <c r="Q3707" s="10" t="s">
        <v>8315</v>
      </c>
      <c r="R3707" s="10" t="s">
        <v>8316</v>
      </c>
      <c r="S3707" s="16">
        <f t="shared" si="344"/>
        <v>41792.542986111112</v>
      </c>
      <c r="T3707" s="16">
        <f t="shared" si="345"/>
        <v>41813.75</v>
      </c>
      <c r="U3707">
        <f t="shared" si="346"/>
        <v>21</v>
      </c>
      <c r="V3707">
        <f t="shared" si="347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 s="8">
        <f t="shared" si="343"/>
        <v>140</v>
      </c>
      <c r="Q3708" s="10" t="s">
        <v>8315</v>
      </c>
      <c r="R3708" s="10" t="s">
        <v>8316</v>
      </c>
      <c r="S3708" s="16">
        <f t="shared" si="344"/>
        <v>41879.913761574076</v>
      </c>
      <c r="T3708" s="16">
        <f t="shared" si="345"/>
        <v>41894.913761574076</v>
      </c>
      <c r="U3708">
        <f t="shared" si="346"/>
        <v>15</v>
      </c>
      <c r="V3708">
        <f t="shared" si="347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 s="8">
        <f t="shared" si="343"/>
        <v>80.87</v>
      </c>
      <c r="Q3709" s="10" t="s">
        <v>8315</v>
      </c>
      <c r="R3709" s="10" t="s">
        <v>8316</v>
      </c>
      <c r="S3709" s="16">
        <f t="shared" si="344"/>
        <v>42552.048356481479</v>
      </c>
      <c r="T3709" s="16">
        <f t="shared" si="345"/>
        <v>42573.226388888885</v>
      </c>
      <c r="U3709">
        <f t="shared" si="346"/>
        <v>21</v>
      </c>
      <c r="V3709">
        <f t="shared" si="347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 s="8">
        <f t="shared" si="343"/>
        <v>53.85</v>
      </c>
      <c r="Q3710" s="10" t="s">
        <v>8315</v>
      </c>
      <c r="R3710" s="10" t="s">
        <v>8316</v>
      </c>
      <c r="S3710" s="16">
        <f t="shared" si="344"/>
        <v>41810.142199074071</v>
      </c>
      <c r="T3710" s="16">
        <f t="shared" si="345"/>
        <v>41824.142199074071</v>
      </c>
      <c r="U3710">
        <f t="shared" si="346"/>
        <v>14</v>
      </c>
      <c r="V3710">
        <f t="shared" si="347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 s="8">
        <f t="shared" si="343"/>
        <v>30.93</v>
      </c>
      <c r="Q3711" s="10" t="s">
        <v>8315</v>
      </c>
      <c r="R3711" s="10" t="s">
        <v>8316</v>
      </c>
      <c r="S3711" s="16">
        <f t="shared" si="344"/>
        <v>41785.707708333335</v>
      </c>
      <c r="T3711" s="16">
        <f t="shared" si="345"/>
        <v>41815.707708333335</v>
      </c>
      <c r="U3711">
        <f t="shared" si="346"/>
        <v>30</v>
      </c>
      <c r="V3711">
        <f t="shared" si="347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 s="8">
        <f t="shared" si="343"/>
        <v>67.959999999999994</v>
      </c>
      <c r="Q3712" s="10" t="s">
        <v>8315</v>
      </c>
      <c r="R3712" s="10" t="s">
        <v>8316</v>
      </c>
      <c r="S3712" s="16">
        <f t="shared" si="344"/>
        <v>42072.576249999998</v>
      </c>
      <c r="T3712" s="16">
        <f t="shared" si="345"/>
        <v>42097.576249999998</v>
      </c>
      <c r="U3712">
        <f t="shared" si="346"/>
        <v>25</v>
      </c>
      <c r="V3712">
        <f t="shared" si="347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 s="8">
        <f t="shared" si="343"/>
        <v>27.14</v>
      </c>
      <c r="Q3713" s="10" t="s">
        <v>8315</v>
      </c>
      <c r="R3713" s="10" t="s">
        <v>8316</v>
      </c>
      <c r="S3713" s="16">
        <f t="shared" si="344"/>
        <v>41779.724224537036</v>
      </c>
      <c r="T3713" s="16">
        <f t="shared" si="345"/>
        <v>41805.666666666664</v>
      </c>
      <c r="U3713">
        <f t="shared" si="346"/>
        <v>26</v>
      </c>
      <c r="V3713">
        <f t="shared" si="347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ROUND((E3714/D3714)*100, 0)</f>
        <v>154</v>
      </c>
      <c r="P3714" s="8">
        <f t="shared" ref="P3714:P3777" si="349">IFERROR(ROUND(E3714/L3714, 2), 0)</f>
        <v>110.87</v>
      </c>
      <c r="Q3714" s="10" t="s">
        <v>8315</v>
      </c>
      <c r="R3714" s="10" t="s">
        <v>8316</v>
      </c>
      <c r="S3714" s="16">
        <f t="shared" ref="S3714:S3777" si="350">(J3714/60/60/24)+DATE(1970, 1, 1)</f>
        <v>42134.172071759262</v>
      </c>
      <c r="T3714" s="16">
        <f t="shared" ref="T3714:T3777" si="351">(I3714/60/60/24)+DATE(1970, 1, 1)</f>
        <v>42155.290972222225</v>
      </c>
      <c r="U3714">
        <f t="shared" si="346"/>
        <v>21</v>
      </c>
      <c r="V3714">
        <f t="shared" si="347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 s="8">
        <f t="shared" si="349"/>
        <v>106.84</v>
      </c>
      <c r="Q3715" s="10" t="s">
        <v>8315</v>
      </c>
      <c r="R3715" s="10" t="s">
        <v>8316</v>
      </c>
      <c r="S3715" s="16">
        <f t="shared" si="350"/>
        <v>42505.738032407404</v>
      </c>
      <c r="T3715" s="16">
        <f t="shared" si="351"/>
        <v>42525.738032407404</v>
      </c>
      <c r="U3715">
        <f t="shared" ref="U3715:U3778" si="352">ROUND(T3715-S3715, 0)</f>
        <v>20</v>
      </c>
      <c r="V3715">
        <f t="shared" ref="V3715:V3778" si="353">YEAR($S3715)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 s="8">
        <f t="shared" si="349"/>
        <v>105.52</v>
      </c>
      <c r="Q3716" s="10" t="s">
        <v>8315</v>
      </c>
      <c r="R3716" s="10" t="s">
        <v>8316</v>
      </c>
      <c r="S3716" s="16">
        <f t="shared" si="350"/>
        <v>42118.556331018524</v>
      </c>
      <c r="T3716" s="16">
        <f t="shared" si="351"/>
        <v>42150.165972222225</v>
      </c>
      <c r="U3716">
        <f t="shared" si="352"/>
        <v>32</v>
      </c>
      <c r="V3716">
        <f t="shared" si="353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 s="8">
        <f t="shared" si="349"/>
        <v>132.96</v>
      </c>
      <c r="Q3717" s="10" t="s">
        <v>8315</v>
      </c>
      <c r="R3717" s="10" t="s">
        <v>8316</v>
      </c>
      <c r="S3717" s="16">
        <f t="shared" si="350"/>
        <v>42036.995590277773</v>
      </c>
      <c r="T3717" s="16">
        <f t="shared" si="351"/>
        <v>42094.536111111112</v>
      </c>
      <c r="U3717">
        <f t="shared" si="352"/>
        <v>58</v>
      </c>
      <c r="V3717">
        <f t="shared" si="353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 s="8">
        <f t="shared" si="349"/>
        <v>51.92</v>
      </c>
      <c r="Q3718" s="10" t="s">
        <v>8315</v>
      </c>
      <c r="R3718" s="10" t="s">
        <v>8316</v>
      </c>
      <c r="S3718" s="16">
        <f t="shared" si="350"/>
        <v>42360.887835648144</v>
      </c>
      <c r="T3718" s="16">
        <f t="shared" si="351"/>
        <v>42390.887835648144</v>
      </c>
      <c r="U3718">
        <f t="shared" si="352"/>
        <v>30</v>
      </c>
      <c r="V3718">
        <f t="shared" si="353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 s="8">
        <f t="shared" si="349"/>
        <v>310</v>
      </c>
      <c r="Q3719" s="10" t="s">
        <v>8315</v>
      </c>
      <c r="R3719" s="10" t="s">
        <v>8316</v>
      </c>
      <c r="S3719" s="16">
        <f t="shared" si="350"/>
        <v>42102.866307870368</v>
      </c>
      <c r="T3719" s="16">
        <f t="shared" si="351"/>
        <v>42133.866307870368</v>
      </c>
      <c r="U3719">
        <f t="shared" si="352"/>
        <v>31</v>
      </c>
      <c r="V3719">
        <f t="shared" si="353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 s="8">
        <f t="shared" si="349"/>
        <v>26.02</v>
      </c>
      <c r="Q3720" s="10" t="s">
        <v>8315</v>
      </c>
      <c r="R3720" s="10" t="s">
        <v>8316</v>
      </c>
      <c r="S3720" s="16">
        <f t="shared" si="350"/>
        <v>42032.716145833328</v>
      </c>
      <c r="T3720" s="16">
        <f t="shared" si="351"/>
        <v>42062.716145833328</v>
      </c>
      <c r="U3720">
        <f t="shared" si="352"/>
        <v>30</v>
      </c>
      <c r="V3720">
        <f t="shared" si="353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 s="8">
        <f t="shared" si="349"/>
        <v>105</v>
      </c>
      <c r="Q3721" s="10" t="s">
        <v>8315</v>
      </c>
      <c r="R3721" s="10" t="s">
        <v>8316</v>
      </c>
      <c r="S3721" s="16">
        <f t="shared" si="350"/>
        <v>42147.729930555557</v>
      </c>
      <c r="T3721" s="16">
        <f t="shared" si="351"/>
        <v>42177.729930555557</v>
      </c>
      <c r="U3721">
        <f t="shared" si="352"/>
        <v>30</v>
      </c>
      <c r="V3721">
        <f t="shared" si="353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 s="8">
        <f t="shared" si="349"/>
        <v>86.23</v>
      </c>
      <c r="Q3722" s="10" t="s">
        <v>8315</v>
      </c>
      <c r="R3722" s="10" t="s">
        <v>8316</v>
      </c>
      <c r="S3722" s="16">
        <f t="shared" si="350"/>
        <v>42165.993125000001</v>
      </c>
      <c r="T3722" s="16">
        <f t="shared" si="351"/>
        <v>42187.993125000001</v>
      </c>
      <c r="U3722">
        <f t="shared" si="352"/>
        <v>22</v>
      </c>
      <c r="V3722">
        <f t="shared" si="353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 s="8">
        <f t="shared" si="349"/>
        <v>114.55</v>
      </c>
      <c r="Q3723" s="10" t="s">
        <v>8315</v>
      </c>
      <c r="R3723" s="10" t="s">
        <v>8316</v>
      </c>
      <c r="S3723" s="16">
        <f t="shared" si="350"/>
        <v>41927.936157407406</v>
      </c>
      <c r="T3723" s="16">
        <f t="shared" si="351"/>
        <v>41948.977824074071</v>
      </c>
      <c r="U3723">
        <f t="shared" si="352"/>
        <v>21</v>
      </c>
      <c r="V3723">
        <f t="shared" si="353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 s="8">
        <f t="shared" si="349"/>
        <v>47.66</v>
      </c>
      <c r="Q3724" s="10" t="s">
        <v>8315</v>
      </c>
      <c r="R3724" s="10" t="s">
        <v>8316</v>
      </c>
      <c r="S3724" s="16">
        <f t="shared" si="350"/>
        <v>42381.671840277777</v>
      </c>
      <c r="T3724" s="16">
        <f t="shared" si="351"/>
        <v>42411.957638888889</v>
      </c>
      <c r="U3724">
        <f t="shared" si="352"/>
        <v>30</v>
      </c>
      <c r="V3724">
        <f t="shared" si="353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 s="8">
        <f t="shared" si="349"/>
        <v>72.89</v>
      </c>
      <c r="Q3725" s="10" t="s">
        <v>8315</v>
      </c>
      <c r="R3725" s="10" t="s">
        <v>8316</v>
      </c>
      <c r="S3725" s="16">
        <f t="shared" si="350"/>
        <v>41943.753032407411</v>
      </c>
      <c r="T3725" s="16">
        <f t="shared" si="351"/>
        <v>41973.794699074075</v>
      </c>
      <c r="U3725">
        <f t="shared" si="352"/>
        <v>30</v>
      </c>
      <c r="V3725">
        <f t="shared" si="353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 s="8">
        <f t="shared" si="349"/>
        <v>49.55</v>
      </c>
      <c r="Q3726" s="10" t="s">
        <v>8315</v>
      </c>
      <c r="R3726" s="10" t="s">
        <v>8316</v>
      </c>
      <c r="S3726" s="16">
        <f t="shared" si="350"/>
        <v>42465.491435185191</v>
      </c>
      <c r="T3726" s="16">
        <f t="shared" si="351"/>
        <v>42494.958333333328</v>
      </c>
      <c r="U3726">
        <f t="shared" si="352"/>
        <v>29</v>
      </c>
      <c r="V3726">
        <f t="shared" si="353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 s="8">
        <f t="shared" si="349"/>
        <v>25.4</v>
      </c>
      <c r="Q3727" s="10" t="s">
        <v>8315</v>
      </c>
      <c r="R3727" s="10" t="s">
        <v>8316</v>
      </c>
      <c r="S3727" s="16">
        <f t="shared" si="350"/>
        <v>42401.945219907408</v>
      </c>
      <c r="T3727" s="16">
        <f t="shared" si="351"/>
        <v>42418.895833333328</v>
      </c>
      <c r="U3727">
        <f t="shared" si="352"/>
        <v>17</v>
      </c>
      <c r="V3727">
        <f t="shared" si="353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 s="8">
        <f t="shared" si="349"/>
        <v>62.59</v>
      </c>
      <c r="Q3728" s="10" t="s">
        <v>8315</v>
      </c>
      <c r="R3728" s="10" t="s">
        <v>8316</v>
      </c>
      <c r="S3728" s="16">
        <f t="shared" si="350"/>
        <v>42462.140868055561</v>
      </c>
      <c r="T3728" s="16">
        <f t="shared" si="351"/>
        <v>42489.875</v>
      </c>
      <c r="U3728">
        <f t="shared" si="352"/>
        <v>28</v>
      </c>
      <c r="V3728">
        <f t="shared" si="353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 s="8">
        <f t="shared" si="349"/>
        <v>61.06</v>
      </c>
      <c r="Q3729" s="10" t="s">
        <v>8315</v>
      </c>
      <c r="R3729" s="10" t="s">
        <v>8316</v>
      </c>
      <c r="S3729" s="16">
        <f t="shared" si="350"/>
        <v>42632.348310185189</v>
      </c>
      <c r="T3729" s="16">
        <f t="shared" si="351"/>
        <v>42663.204861111109</v>
      </c>
      <c r="U3729">
        <f t="shared" si="352"/>
        <v>31</v>
      </c>
      <c r="V3729">
        <f t="shared" si="353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 s="8">
        <f t="shared" si="349"/>
        <v>60.06</v>
      </c>
      <c r="Q3730" s="10" t="s">
        <v>8315</v>
      </c>
      <c r="R3730" s="10" t="s">
        <v>8316</v>
      </c>
      <c r="S3730" s="16">
        <f t="shared" si="350"/>
        <v>42205.171018518522</v>
      </c>
      <c r="T3730" s="16">
        <f t="shared" si="351"/>
        <v>42235.171018518522</v>
      </c>
      <c r="U3730">
        <f t="shared" si="352"/>
        <v>30</v>
      </c>
      <c r="V3730">
        <f t="shared" si="353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 s="8">
        <f t="shared" si="349"/>
        <v>72.400000000000006</v>
      </c>
      <c r="Q3731" s="10" t="s">
        <v>8315</v>
      </c>
      <c r="R3731" s="10" t="s">
        <v>8316</v>
      </c>
      <c r="S3731" s="16">
        <f t="shared" si="350"/>
        <v>42041.205000000002</v>
      </c>
      <c r="T3731" s="16">
        <f t="shared" si="351"/>
        <v>42086.16333333333</v>
      </c>
      <c r="U3731">
        <f t="shared" si="352"/>
        <v>45</v>
      </c>
      <c r="V3731">
        <f t="shared" si="353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 s="8">
        <f t="shared" si="349"/>
        <v>100</v>
      </c>
      <c r="Q3732" s="10" t="s">
        <v>8315</v>
      </c>
      <c r="R3732" s="10" t="s">
        <v>8316</v>
      </c>
      <c r="S3732" s="16">
        <f t="shared" si="350"/>
        <v>42203.677766203706</v>
      </c>
      <c r="T3732" s="16">
        <f t="shared" si="351"/>
        <v>42233.677766203706</v>
      </c>
      <c r="U3732">
        <f t="shared" si="352"/>
        <v>30</v>
      </c>
      <c r="V3732">
        <f t="shared" si="353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 s="8">
        <f t="shared" si="349"/>
        <v>51.67</v>
      </c>
      <c r="Q3733" s="10" t="s">
        <v>8315</v>
      </c>
      <c r="R3733" s="10" t="s">
        <v>8316</v>
      </c>
      <c r="S3733" s="16">
        <f t="shared" si="350"/>
        <v>41983.752847222218</v>
      </c>
      <c r="T3733" s="16">
        <f t="shared" si="351"/>
        <v>42014.140972222223</v>
      </c>
      <c r="U3733">
        <f t="shared" si="352"/>
        <v>30</v>
      </c>
      <c r="V3733">
        <f t="shared" si="353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 s="8">
        <f t="shared" si="349"/>
        <v>32.75</v>
      </c>
      <c r="Q3734" s="10" t="s">
        <v>8315</v>
      </c>
      <c r="R3734" s="10" t="s">
        <v>8316</v>
      </c>
      <c r="S3734" s="16">
        <f t="shared" si="350"/>
        <v>41968.677465277782</v>
      </c>
      <c r="T3734" s="16">
        <f t="shared" si="351"/>
        <v>42028.5</v>
      </c>
      <c r="U3734">
        <f t="shared" si="352"/>
        <v>60</v>
      </c>
      <c r="V3734">
        <f t="shared" si="353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 s="8">
        <f t="shared" si="349"/>
        <v>0</v>
      </c>
      <c r="Q3735" s="10" t="s">
        <v>8315</v>
      </c>
      <c r="R3735" s="10" t="s">
        <v>8316</v>
      </c>
      <c r="S3735" s="16">
        <f t="shared" si="350"/>
        <v>42103.024398148147</v>
      </c>
      <c r="T3735" s="16">
        <f t="shared" si="351"/>
        <v>42112.9375</v>
      </c>
      <c r="U3735">
        <f t="shared" si="352"/>
        <v>10</v>
      </c>
      <c r="V3735">
        <f t="shared" si="353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 s="8">
        <f t="shared" si="349"/>
        <v>61</v>
      </c>
      <c r="Q3736" s="10" t="s">
        <v>8315</v>
      </c>
      <c r="R3736" s="10" t="s">
        <v>8316</v>
      </c>
      <c r="S3736" s="16">
        <f t="shared" si="350"/>
        <v>42089.901574074072</v>
      </c>
      <c r="T3736" s="16">
        <f t="shared" si="351"/>
        <v>42149.901574074072</v>
      </c>
      <c r="U3736">
        <f t="shared" si="352"/>
        <v>60</v>
      </c>
      <c r="V3736">
        <f t="shared" si="353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 s="8">
        <f t="shared" si="349"/>
        <v>10</v>
      </c>
      <c r="Q3737" s="10" t="s">
        <v>8315</v>
      </c>
      <c r="R3737" s="10" t="s">
        <v>8316</v>
      </c>
      <c r="S3737" s="16">
        <f t="shared" si="350"/>
        <v>42122.693159722221</v>
      </c>
      <c r="T3737" s="16">
        <f t="shared" si="351"/>
        <v>42152.693159722221</v>
      </c>
      <c r="U3737">
        <f t="shared" si="352"/>
        <v>30</v>
      </c>
      <c r="V3737">
        <f t="shared" si="353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 s="8">
        <f t="shared" si="349"/>
        <v>10</v>
      </c>
      <c r="Q3738" s="10" t="s">
        <v>8315</v>
      </c>
      <c r="R3738" s="10" t="s">
        <v>8316</v>
      </c>
      <c r="S3738" s="16">
        <f t="shared" si="350"/>
        <v>42048.711724537032</v>
      </c>
      <c r="T3738" s="16">
        <f t="shared" si="351"/>
        <v>42086.75</v>
      </c>
      <c r="U3738">
        <f t="shared" si="352"/>
        <v>38</v>
      </c>
      <c r="V3738">
        <f t="shared" si="353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 s="8">
        <f t="shared" si="349"/>
        <v>37.5</v>
      </c>
      <c r="Q3739" s="10" t="s">
        <v>8315</v>
      </c>
      <c r="R3739" s="10" t="s">
        <v>8316</v>
      </c>
      <c r="S3739" s="16">
        <f t="shared" si="350"/>
        <v>42297.691006944442</v>
      </c>
      <c r="T3739" s="16">
        <f t="shared" si="351"/>
        <v>42320.290972222225</v>
      </c>
      <c r="U3739">
        <f t="shared" si="352"/>
        <v>23</v>
      </c>
      <c r="V3739">
        <f t="shared" si="353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 s="8">
        <f t="shared" si="349"/>
        <v>45</v>
      </c>
      <c r="Q3740" s="10" t="s">
        <v>8315</v>
      </c>
      <c r="R3740" s="10" t="s">
        <v>8316</v>
      </c>
      <c r="S3740" s="16">
        <f t="shared" si="350"/>
        <v>41813.938715277778</v>
      </c>
      <c r="T3740" s="16">
        <f t="shared" si="351"/>
        <v>41835.916666666664</v>
      </c>
      <c r="U3740">
        <f t="shared" si="352"/>
        <v>22</v>
      </c>
      <c r="V3740">
        <f t="shared" si="353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 s="8">
        <f t="shared" si="349"/>
        <v>100.63</v>
      </c>
      <c r="Q3741" s="10" t="s">
        <v>8315</v>
      </c>
      <c r="R3741" s="10" t="s">
        <v>8316</v>
      </c>
      <c r="S3741" s="16">
        <f t="shared" si="350"/>
        <v>42548.449861111112</v>
      </c>
      <c r="T3741" s="16">
        <f t="shared" si="351"/>
        <v>42568.449861111112</v>
      </c>
      <c r="U3741">
        <f t="shared" si="352"/>
        <v>20</v>
      </c>
      <c r="V3741">
        <f t="shared" si="353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 s="8">
        <f t="shared" si="349"/>
        <v>25.57</v>
      </c>
      <c r="Q3742" s="10" t="s">
        <v>8315</v>
      </c>
      <c r="R3742" s="10" t="s">
        <v>8316</v>
      </c>
      <c r="S3742" s="16">
        <f t="shared" si="350"/>
        <v>41833.089756944442</v>
      </c>
      <c r="T3742" s="16">
        <f t="shared" si="351"/>
        <v>41863.079143518517</v>
      </c>
      <c r="U3742">
        <f t="shared" si="352"/>
        <v>30</v>
      </c>
      <c r="V3742">
        <f t="shared" si="353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 s="8">
        <f t="shared" si="349"/>
        <v>0</v>
      </c>
      <c r="Q3743" s="10" t="s">
        <v>8315</v>
      </c>
      <c r="R3743" s="10" t="s">
        <v>8316</v>
      </c>
      <c r="S3743" s="16">
        <f t="shared" si="350"/>
        <v>42325.920717592591</v>
      </c>
      <c r="T3743" s="16">
        <f t="shared" si="351"/>
        <v>42355.920717592591</v>
      </c>
      <c r="U3743">
        <f t="shared" si="352"/>
        <v>30</v>
      </c>
      <c r="V3743">
        <f t="shared" si="353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 s="8">
        <f t="shared" si="349"/>
        <v>25</v>
      </c>
      <c r="Q3744" s="10" t="s">
        <v>8315</v>
      </c>
      <c r="R3744" s="10" t="s">
        <v>8316</v>
      </c>
      <c r="S3744" s="16">
        <f t="shared" si="350"/>
        <v>41858.214629629627</v>
      </c>
      <c r="T3744" s="16">
        <f t="shared" si="351"/>
        <v>41888.214629629627</v>
      </c>
      <c r="U3744">
        <f t="shared" si="352"/>
        <v>30</v>
      </c>
      <c r="V3744">
        <f t="shared" si="353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 s="8">
        <f t="shared" si="349"/>
        <v>0</v>
      </c>
      <c r="Q3745" s="10" t="s">
        <v>8315</v>
      </c>
      <c r="R3745" s="10" t="s">
        <v>8316</v>
      </c>
      <c r="S3745" s="16">
        <f t="shared" si="350"/>
        <v>41793.710231481484</v>
      </c>
      <c r="T3745" s="16">
        <f t="shared" si="351"/>
        <v>41823.710231481484</v>
      </c>
      <c r="U3745">
        <f t="shared" si="352"/>
        <v>30</v>
      </c>
      <c r="V3745">
        <f t="shared" si="353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 s="8">
        <f t="shared" si="349"/>
        <v>0</v>
      </c>
      <c r="Q3746" s="10" t="s">
        <v>8315</v>
      </c>
      <c r="R3746" s="10" t="s">
        <v>8316</v>
      </c>
      <c r="S3746" s="16">
        <f t="shared" si="350"/>
        <v>41793.814259259263</v>
      </c>
      <c r="T3746" s="16">
        <f t="shared" si="351"/>
        <v>41825.165972222225</v>
      </c>
      <c r="U3746">
        <f t="shared" si="352"/>
        <v>31</v>
      </c>
      <c r="V3746">
        <f t="shared" si="353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 s="8">
        <f t="shared" si="349"/>
        <v>10</v>
      </c>
      <c r="Q3747" s="10" t="s">
        <v>8315</v>
      </c>
      <c r="R3747" s="10" t="s">
        <v>8316</v>
      </c>
      <c r="S3747" s="16">
        <f t="shared" si="350"/>
        <v>41831.697939814818</v>
      </c>
      <c r="T3747" s="16">
        <f t="shared" si="351"/>
        <v>41861.697939814818</v>
      </c>
      <c r="U3747">
        <f t="shared" si="352"/>
        <v>30</v>
      </c>
      <c r="V3747">
        <f t="shared" si="353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 s="8">
        <f t="shared" si="349"/>
        <v>202</v>
      </c>
      <c r="Q3748" s="10" t="s">
        <v>8315</v>
      </c>
      <c r="R3748" s="10" t="s">
        <v>8316</v>
      </c>
      <c r="S3748" s="16">
        <f t="shared" si="350"/>
        <v>42621.389340277776</v>
      </c>
      <c r="T3748" s="16">
        <f t="shared" si="351"/>
        <v>42651.389340277776</v>
      </c>
      <c r="U3748">
        <f t="shared" si="352"/>
        <v>30</v>
      </c>
      <c r="V3748">
        <f t="shared" si="353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 s="8">
        <f t="shared" si="349"/>
        <v>25</v>
      </c>
      <c r="Q3749" s="10" t="s">
        <v>8315</v>
      </c>
      <c r="R3749" s="10" t="s">
        <v>8316</v>
      </c>
      <c r="S3749" s="16">
        <f t="shared" si="350"/>
        <v>42164.299722222218</v>
      </c>
      <c r="T3749" s="16">
        <f t="shared" si="351"/>
        <v>42190.957638888889</v>
      </c>
      <c r="U3749">
        <f t="shared" si="352"/>
        <v>27</v>
      </c>
      <c r="V3749">
        <f t="shared" si="353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 s="8">
        <f t="shared" si="349"/>
        <v>99.54</v>
      </c>
      <c r="Q3750" s="10" t="s">
        <v>8315</v>
      </c>
      <c r="R3750" s="10" t="s">
        <v>8357</v>
      </c>
      <c r="S3750" s="16">
        <f t="shared" si="350"/>
        <v>42395.706435185188</v>
      </c>
      <c r="T3750" s="16">
        <f t="shared" si="351"/>
        <v>42416.249305555553</v>
      </c>
      <c r="U3750">
        <f t="shared" si="352"/>
        <v>21</v>
      </c>
      <c r="V3750">
        <f t="shared" si="353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 s="8">
        <f t="shared" si="349"/>
        <v>75</v>
      </c>
      <c r="Q3751" s="10" t="s">
        <v>8315</v>
      </c>
      <c r="R3751" s="10" t="s">
        <v>8357</v>
      </c>
      <c r="S3751" s="16">
        <f t="shared" si="350"/>
        <v>42458.127175925925</v>
      </c>
      <c r="T3751" s="16">
        <f t="shared" si="351"/>
        <v>42489.165972222225</v>
      </c>
      <c r="U3751">
        <f t="shared" si="352"/>
        <v>31</v>
      </c>
      <c r="V3751">
        <f t="shared" si="353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 s="8">
        <f t="shared" si="349"/>
        <v>215.25</v>
      </c>
      <c r="Q3752" s="10" t="s">
        <v>8315</v>
      </c>
      <c r="R3752" s="10" t="s">
        <v>8357</v>
      </c>
      <c r="S3752" s="16">
        <f t="shared" si="350"/>
        <v>42016.981574074074</v>
      </c>
      <c r="T3752" s="16">
        <f t="shared" si="351"/>
        <v>42045.332638888889</v>
      </c>
      <c r="U3752">
        <f t="shared" si="352"/>
        <v>28</v>
      </c>
      <c r="V3752">
        <f t="shared" si="353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 s="8">
        <f t="shared" si="349"/>
        <v>120.55</v>
      </c>
      <c r="Q3753" s="10" t="s">
        <v>8315</v>
      </c>
      <c r="R3753" s="10" t="s">
        <v>8357</v>
      </c>
      <c r="S3753" s="16">
        <f t="shared" si="350"/>
        <v>42403.035567129627</v>
      </c>
      <c r="T3753" s="16">
        <f t="shared" si="351"/>
        <v>42462.993900462956</v>
      </c>
      <c r="U3753">
        <f t="shared" si="352"/>
        <v>60</v>
      </c>
      <c r="V3753">
        <f t="shared" si="353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 s="8">
        <f t="shared" si="349"/>
        <v>37.67</v>
      </c>
      <c r="Q3754" s="10" t="s">
        <v>8315</v>
      </c>
      <c r="R3754" s="10" t="s">
        <v>8357</v>
      </c>
      <c r="S3754" s="16">
        <f t="shared" si="350"/>
        <v>42619.802488425921</v>
      </c>
      <c r="T3754" s="16">
        <f t="shared" si="351"/>
        <v>42659.875</v>
      </c>
      <c r="U3754">
        <f t="shared" si="352"/>
        <v>40</v>
      </c>
      <c r="V3754">
        <f t="shared" si="353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 s="8">
        <f t="shared" si="349"/>
        <v>172.23</v>
      </c>
      <c r="Q3755" s="10" t="s">
        <v>8315</v>
      </c>
      <c r="R3755" s="10" t="s">
        <v>8357</v>
      </c>
      <c r="S3755" s="16">
        <f t="shared" si="350"/>
        <v>42128.824074074073</v>
      </c>
      <c r="T3755" s="16">
        <f t="shared" si="351"/>
        <v>42158</v>
      </c>
      <c r="U3755">
        <f t="shared" si="352"/>
        <v>29</v>
      </c>
      <c r="V3755">
        <f t="shared" si="353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 s="8">
        <f t="shared" si="349"/>
        <v>111.11</v>
      </c>
      <c r="Q3756" s="10" t="s">
        <v>8315</v>
      </c>
      <c r="R3756" s="10" t="s">
        <v>8357</v>
      </c>
      <c r="S3756" s="16">
        <f t="shared" si="350"/>
        <v>41808.881215277775</v>
      </c>
      <c r="T3756" s="16">
        <f t="shared" si="351"/>
        <v>41846.207638888889</v>
      </c>
      <c r="U3756">
        <f t="shared" si="352"/>
        <v>37</v>
      </c>
      <c r="V3756">
        <f t="shared" si="353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 s="8">
        <f t="shared" si="349"/>
        <v>25.46</v>
      </c>
      <c r="Q3757" s="10" t="s">
        <v>8315</v>
      </c>
      <c r="R3757" s="10" t="s">
        <v>8357</v>
      </c>
      <c r="S3757" s="16">
        <f t="shared" si="350"/>
        <v>42445.866979166662</v>
      </c>
      <c r="T3757" s="16">
        <f t="shared" si="351"/>
        <v>42475.866979166662</v>
      </c>
      <c r="U3757">
        <f t="shared" si="352"/>
        <v>30</v>
      </c>
      <c r="V3757">
        <f t="shared" si="353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 s="8">
        <f t="shared" si="349"/>
        <v>267.64999999999998</v>
      </c>
      <c r="Q3758" s="10" t="s">
        <v>8315</v>
      </c>
      <c r="R3758" s="10" t="s">
        <v>8357</v>
      </c>
      <c r="S3758" s="16">
        <f t="shared" si="350"/>
        <v>41771.814791666664</v>
      </c>
      <c r="T3758" s="16">
        <f t="shared" si="351"/>
        <v>41801.814791666664</v>
      </c>
      <c r="U3758">
        <f t="shared" si="352"/>
        <v>30</v>
      </c>
      <c r="V3758">
        <f t="shared" si="353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 s="8">
        <f t="shared" si="349"/>
        <v>75.959999999999994</v>
      </c>
      <c r="Q3759" s="10" t="s">
        <v>8315</v>
      </c>
      <c r="R3759" s="10" t="s">
        <v>8357</v>
      </c>
      <c r="S3759" s="16">
        <f t="shared" si="350"/>
        <v>41954.850868055553</v>
      </c>
      <c r="T3759" s="16">
        <f t="shared" si="351"/>
        <v>41974.850868055553</v>
      </c>
      <c r="U3759">
        <f t="shared" si="352"/>
        <v>20</v>
      </c>
      <c r="V3759">
        <f t="shared" si="353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 s="8">
        <f t="shared" si="349"/>
        <v>59.04</v>
      </c>
      <c r="Q3760" s="10" t="s">
        <v>8315</v>
      </c>
      <c r="R3760" s="10" t="s">
        <v>8357</v>
      </c>
      <c r="S3760" s="16">
        <f t="shared" si="350"/>
        <v>41747.471504629626</v>
      </c>
      <c r="T3760" s="16">
        <f t="shared" si="351"/>
        <v>41778.208333333336</v>
      </c>
      <c r="U3760">
        <f t="shared" si="352"/>
        <v>31</v>
      </c>
      <c r="V3760">
        <f t="shared" si="353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 s="8">
        <f t="shared" si="349"/>
        <v>50.11</v>
      </c>
      <c r="Q3761" s="10" t="s">
        <v>8315</v>
      </c>
      <c r="R3761" s="10" t="s">
        <v>8357</v>
      </c>
      <c r="S3761" s="16">
        <f t="shared" si="350"/>
        <v>42182.108252314814</v>
      </c>
      <c r="T3761" s="16">
        <f t="shared" si="351"/>
        <v>42242.108252314814</v>
      </c>
      <c r="U3761">
        <f t="shared" si="352"/>
        <v>60</v>
      </c>
      <c r="V3761">
        <f t="shared" si="353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 s="8">
        <f t="shared" si="349"/>
        <v>55.5</v>
      </c>
      <c r="Q3762" s="10" t="s">
        <v>8315</v>
      </c>
      <c r="R3762" s="10" t="s">
        <v>8357</v>
      </c>
      <c r="S3762" s="16">
        <f t="shared" si="350"/>
        <v>41739.525300925925</v>
      </c>
      <c r="T3762" s="16">
        <f t="shared" si="351"/>
        <v>41764.525300925925</v>
      </c>
      <c r="U3762">
        <f t="shared" si="352"/>
        <v>25</v>
      </c>
      <c r="V3762">
        <f t="shared" si="353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 s="8">
        <f t="shared" si="349"/>
        <v>166.67</v>
      </c>
      <c r="Q3763" s="10" t="s">
        <v>8315</v>
      </c>
      <c r="R3763" s="10" t="s">
        <v>8357</v>
      </c>
      <c r="S3763" s="16">
        <f t="shared" si="350"/>
        <v>42173.466863425929</v>
      </c>
      <c r="T3763" s="16">
        <f t="shared" si="351"/>
        <v>42226.958333333328</v>
      </c>
      <c r="U3763">
        <f t="shared" si="352"/>
        <v>53</v>
      </c>
      <c r="V3763">
        <f t="shared" si="353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 s="8">
        <f t="shared" si="349"/>
        <v>47.43</v>
      </c>
      <c r="Q3764" s="10" t="s">
        <v>8315</v>
      </c>
      <c r="R3764" s="10" t="s">
        <v>8357</v>
      </c>
      <c r="S3764" s="16">
        <f t="shared" si="350"/>
        <v>42193.813530092593</v>
      </c>
      <c r="T3764" s="16">
        <f t="shared" si="351"/>
        <v>42218.813530092593</v>
      </c>
      <c r="U3764">
        <f t="shared" si="352"/>
        <v>25</v>
      </c>
      <c r="V3764">
        <f t="shared" si="353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 s="8">
        <f t="shared" si="349"/>
        <v>64.94</v>
      </c>
      <c r="Q3765" s="10" t="s">
        <v>8315</v>
      </c>
      <c r="R3765" s="10" t="s">
        <v>8357</v>
      </c>
      <c r="S3765" s="16">
        <f t="shared" si="350"/>
        <v>42065.750300925924</v>
      </c>
      <c r="T3765" s="16">
        <f t="shared" si="351"/>
        <v>42095.708634259259</v>
      </c>
      <c r="U3765">
        <f t="shared" si="352"/>
        <v>30</v>
      </c>
      <c r="V3765">
        <f t="shared" si="353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 s="8">
        <f t="shared" si="349"/>
        <v>55.56</v>
      </c>
      <c r="Q3766" s="10" t="s">
        <v>8315</v>
      </c>
      <c r="R3766" s="10" t="s">
        <v>8357</v>
      </c>
      <c r="S3766" s="16">
        <f t="shared" si="350"/>
        <v>42499.842962962968</v>
      </c>
      <c r="T3766" s="16">
        <f t="shared" si="351"/>
        <v>42519.024999999994</v>
      </c>
      <c r="U3766">
        <f t="shared" si="352"/>
        <v>19</v>
      </c>
      <c r="V3766">
        <f t="shared" si="353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 s="8">
        <f t="shared" si="349"/>
        <v>74.22</v>
      </c>
      <c r="Q3767" s="10" t="s">
        <v>8315</v>
      </c>
      <c r="R3767" s="10" t="s">
        <v>8357</v>
      </c>
      <c r="S3767" s="16">
        <f t="shared" si="350"/>
        <v>41820.776412037041</v>
      </c>
      <c r="T3767" s="16">
        <f t="shared" si="351"/>
        <v>41850.776412037041</v>
      </c>
      <c r="U3767">
        <f t="shared" si="352"/>
        <v>30</v>
      </c>
      <c r="V3767">
        <f t="shared" si="353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 s="8">
        <f t="shared" si="349"/>
        <v>106.93</v>
      </c>
      <c r="Q3768" s="10" t="s">
        <v>8315</v>
      </c>
      <c r="R3768" s="10" t="s">
        <v>8357</v>
      </c>
      <c r="S3768" s="16">
        <f t="shared" si="350"/>
        <v>41788.167187500003</v>
      </c>
      <c r="T3768" s="16">
        <f t="shared" si="351"/>
        <v>41823.167187500003</v>
      </c>
      <c r="U3768">
        <f t="shared" si="352"/>
        <v>35</v>
      </c>
      <c r="V3768">
        <f t="shared" si="353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 s="8">
        <f t="shared" si="349"/>
        <v>41.7</v>
      </c>
      <c r="Q3769" s="10" t="s">
        <v>8315</v>
      </c>
      <c r="R3769" s="10" t="s">
        <v>8357</v>
      </c>
      <c r="S3769" s="16">
        <f t="shared" si="350"/>
        <v>42050.019641203704</v>
      </c>
      <c r="T3769" s="16">
        <f t="shared" si="351"/>
        <v>42064.207638888889</v>
      </c>
      <c r="U3769">
        <f t="shared" si="352"/>
        <v>14</v>
      </c>
      <c r="V3769">
        <f t="shared" si="353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 s="8">
        <f t="shared" si="349"/>
        <v>74.239999999999995</v>
      </c>
      <c r="Q3770" s="10" t="s">
        <v>8315</v>
      </c>
      <c r="R3770" s="10" t="s">
        <v>8357</v>
      </c>
      <c r="S3770" s="16">
        <f t="shared" si="350"/>
        <v>41772.727893518517</v>
      </c>
      <c r="T3770" s="16">
        <f t="shared" si="351"/>
        <v>41802.727893518517</v>
      </c>
      <c r="U3770">
        <f t="shared" si="352"/>
        <v>30</v>
      </c>
      <c r="V3770">
        <f t="shared" si="353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 s="8">
        <f t="shared" si="349"/>
        <v>73.33</v>
      </c>
      <c r="Q3771" s="10" t="s">
        <v>8315</v>
      </c>
      <c r="R3771" s="10" t="s">
        <v>8357</v>
      </c>
      <c r="S3771" s="16">
        <f t="shared" si="350"/>
        <v>42445.598136574074</v>
      </c>
      <c r="T3771" s="16">
        <f t="shared" si="351"/>
        <v>42475.598136574074</v>
      </c>
      <c r="U3771">
        <f t="shared" si="352"/>
        <v>30</v>
      </c>
      <c r="V3771">
        <f t="shared" si="353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 s="8">
        <f t="shared" si="349"/>
        <v>100</v>
      </c>
      <c r="Q3772" s="10" t="s">
        <v>8315</v>
      </c>
      <c r="R3772" s="10" t="s">
        <v>8357</v>
      </c>
      <c r="S3772" s="16">
        <f t="shared" si="350"/>
        <v>42138.930671296301</v>
      </c>
      <c r="T3772" s="16">
        <f t="shared" si="351"/>
        <v>42168.930671296301</v>
      </c>
      <c r="U3772">
        <f t="shared" si="352"/>
        <v>30</v>
      </c>
      <c r="V3772">
        <f t="shared" si="353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 s="8">
        <f t="shared" si="349"/>
        <v>38.42</v>
      </c>
      <c r="Q3773" s="10" t="s">
        <v>8315</v>
      </c>
      <c r="R3773" s="10" t="s">
        <v>8357</v>
      </c>
      <c r="S3773" s="16">
        <f t="shared" si="350"/>
        <v>42493.857083333336</v>
      </c>
      <c r="T3773" s="16">
        <f t="shared" si="351"/>
        <v>42508</v>
      </c>
      <c r="U3773">
        <f t="shared" si="352"/>
        <v>14</v>
      </c>
      <c r="V3773">
        <f t="shared" si="353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 s="8">
        <f t="shared" si="349"/>
        <v>166.97</v>
      </c>
      <c r="Q3774" s="10" t="s">
        <v>8315</v>
      </c>
      <c r="R3774" s="10" t="s">
        <v>8357</v>
      </c>
      <c r="S3774" s="16">
        <f t="shared" si="350"/>
        <v>42682.616967592592</v>
      </c>
      <c r="T3774" s="16">
        <f t="shared" si="351"/>
        <v>42703.25</v>
      </c>
      <c r="U3774">
        <f t="shared" si="352"/>
        <v>21</v>
      </c>
      <c r="V3774">
        <f t="shared" si="353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 s="8">
        <f t="shared" si="349"/>
        <v>94.91</v>
      </c>
      <c r="Q3775" s="10" t="s">
        <v>8315</v>
      </c>
      <c r="R3775" s="10" t="s">
        <v>8357</v>
      </c>
      <c r="S3775" s="16">
        <f t="shared" si="350"/>
        <v>42656.005173611105</v>
      </c>
      <c r="T3775" s="16">
        <f t="shared" si="351"/>
        <v>42689.088888888888</v>
      </c>
      <c r="U3775">
        <f t="shared" si="352"/>
        <v>33</v>
      </c>
      <c r="V3775">
        <f t="shared" si="353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 s="8">
        <f t="shared" si="349"/>
        <v>100</v>
      </c>
      <c r="Q3776" s="10" t="s">
        <v>8315</v>
      </c>
      <c r="R3776" s="10" t="s">
        <v>8357</v>
      </c>
      <c r="S3776" s="16">
        <f t="shared" si="350"/>
        <v>42087.792303240742</v>
      </c>
      <c r="T3776" s="16">
        <f t="shared" si="351"/>
        <v>42103.792303240742</v>
      </c>
      <c r="U3776">
        <f t="shared" si="352"/>
        <v>16</v>
      </c>
      <c r="V3776">
        <f t="shared" si="353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 s="8">
        <f t="shared" si="349"/>
        <v>143.21</v>
      </c>
      <c r="Q3777" s="10" t="s">
        <v>8315</v>
      </c>
      <c r="R3777" s="10" t="s">
        <v>8357</v>
      </c>
      <c r="S3777" s="16">
        <f t="shared" si="350"/>
        <v>42075.942627314813</v>
      </c>
      <c r="T3777" s="16">
        <f t="shared" si="351"/>
        <v>42103.166666666672</v>
      </c>
      <c r="U3777">
        <f t="shared" si="352"/>
        <v>27</v>
      </c>
      <c r="V3777">
        <f t="shared" si="353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ROUND((E3778/D3778)*100, 0)</f>
        <v>107</v>
      </c>
      <c r="P3778" s="8">
        <f t="shared" ref="P3778:P3841" si="355">IFERROR(ROUND(E3778/L3778, 2), 0)</f>
        <v>90.82</v>
      </c>
      <c r="Q3778" s="10" t="s">
        <v>8315</v>
      </c>
      <c r="R3778" s="10" t="s">
        <v>8357</v>
      </c>
      <c r="S3778" s="16">
        <f t="shared" ref="S3778:S3841" si="356">(J3778/60/60/24)+DATE(1970, 1, 1)</f>
        <v>41814.367800925924</v>
      </c>
      <c r="T3778" s="16">
        <f t="shared" ref="T3778:T3841" si="357">(I3778/60/60/24)+DATE(1970, 1, 1)</f>
        <v>41852.041666666664</v>
      </c>
      <c r="U3778">
        <f t="shared" si="352"/>
        <v>38</v>
      </c>
      <c r="V3778">
        <f t="shared" si="353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 s="8">
        <f t="shared" si="355"/>
        <v>48.54</v>
      </c>
      <c r="Q3779" s="10" t="s">
        <v>8315</v>
      </c>
      <c r="R3779" s="10" t="s">
        <v>8357</v>
      </c>
      <c r="S3779" s="16">
        <f t="shared" si="356"/>
        <v>41887.111354166671</v>
      </c>
      <c r="T3779" s="16">
        <f t="shared" si="357"/>
        <v>41909.166666666664</v>
      </c>
      <c r="U3779">
        <f t="shared" ref="U3779:U3842" si="358">ROUND(T3779-S3779, 0)</f>
        <v>22</v>
      </c>
      <c r="V3779">
        <f t="shared" ref="V3779:V3842" si="359">YEAR($S3779)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 s="8">
        <f t="shared" si="355"/>
        <v>70.03</v>
      </c>
      <c r="Q3780" s="10" t="s">
        <v>8315</v>
      </c>
      <c r="R3780" s="10" t="s">
        <v>8357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60</v>
      </c>
      <c r="V3780">
        <f t="shared" si="35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 s="8">
        <f t="shared" si="355"/>
        <v>135.63</v>
      </c>
      <c r="Q3781" s="10" t="s">
        <v>8315</v>
      </c>
      <c r="R3781" s="10" t="s">
        <v>8357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30</v>
      </c>
      <c r="V3781">
        <f t="shared" si="35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 s="8">
        <f t="shared" si="355"/>
        <v>100</v>
      </c>
      <c r="Q3782" s="10" t="s">
        <v>8315</v>
      </c>
      <c r="R3782" s="10" t="s">
        <v>8357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33</v>
      </c>
      <c r="V3782">
        <f t="shared" si="35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 s="8">
        <f t="shared" si="355"/>
        <v>94.9</v>
      </c>
      <c r="Q3783" s="10" t="s">
        <v>8315</v>
      </c>
      <c r="R3783" s="10" t="s">
        <v>8357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25</v>
      </c>
      <c r="V3783">
        <f t="shared" si="35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 s="8">
        <f t="shared" si="355"/>
        <v>75.37</v>
      </c>
      <c r="Q3784" s="10" t="s">
        <v>8315</v>
      </c>
      <c r="R3784" s="10" t="s">
        <v>8357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29</v>
      </c>
      <c r="V3784">
        <f t="shared" si="35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 s="8">
        <f t="shared" si="355"/>
        <v>64.459999999999994</v>
      </c>
      <c r="Q3785" s="10" t="s">
        <v>8315</v>
      </c>
      <c r="R3785" s="10" t="s">
        <v>8357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25</v>
      </c>
      <c r="V3785">
        <f t="shared" si="35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 s="8">
        <f t="shared" si="355"/>
        <v>115</v>
      </c>
      <c r="Q3786" s="10" t="s">
        <v>8315</v>
      </c>
      <c r="R3786" s="10" t="s">
        <v>8357</v>
      </c>
      <c r="S3786" s="16">
        <f t="shared" si="356"/>
        <v>42531.980694444443</v>
      </c>
      <c r="T3786" s="16">
        <f t="shared" si="357"/>
        <v>42561.980694444443</v>
      </c>
      <c r="U3786">
        <f t="shared" si="358"/>
        <v>30</v>
      </c>
      <c r="V3786">
        <f t="shared" si="35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 s="8">
        <f t="shared" si="355"/>
        <v>100.5</v>
      </c>
      <c r="Q3787" s="10" t="s">
        <v>8315</v>
      </c>
      <c r="R3787" s="10" t="s">
        <v>8357</v>
      </c>
      <c r="S3787" s="16">
        <f t="shared" si="356"/>
        <v>42548.63853009259</v>
      </c>
      <c r="T3787" s="16">
        <f t="shared" si="357"/>
        <v>42584.418749999997</v>
      </c>
      <c r="U3787">
        <f t="shared" si="358"/>
        <v>36</v>
      </c>
      <c r="V3787">
        <f t="shared" si="35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 s="8">
        <f t="shared" si="355"/>
        <v>93.77</v>
      </c>
      <c r="Q3788" s="10" t="s">
        <v>8315</v>
      </c>
      <c r="R3788" s="10" t="s">
        <v>8357</v>
      </c>
      <c r="S3788" s="16">
        <f t="shared" si="356"/>
        <v>42487.037905092591</v>
      </c>
      <c r="T3788" s="16">
        <f t="shared" si="357"/>
        <v>42517.037905092591</v>
      </c>
      <c r="U3788">
        <f t="shared" si="358"/>
        <v>30</v>
      </c>
      <c r="V3788">
        <f t="shared" si="35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 s="8">
        <f t="shared" si="355"/>
        <v>35.1</v>
      </c>
      <c r="Q3789" s="10" t="s">
        <v>8315</v>
      </c>
      <c r="R3789" s="10" t="s">
        <v>8357</v>
      </c>
      <c r="S3789" s="16">
        <f t="shared" si="356"/>
        <v>42167.534791666665</v>
      </c>
      <c r="T3789" s="16">
        <f t="shared" si="357"/>
        <v>42196.165972222225</v>
      </c>
      <c r="U3789">
        <f t="shared" si="358"/>
        <v>29</v>
      </c>
      <c r="V3789">
        <f t="shared" si="35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 s="8">
        <f t="shared" si="355"/>
        <v>500</v>
      </c>
      <c r="Q3790" s="10" t="s">
        <v>8315</v>
      </c>
      <c r="R3790" s="10" t="s">
        <v>8357</v>
      </c>
      <c r="S3790" s="16">
        <f t="shared" si="356"/>
        <v>42333.695821759262</v>
      </c>
      <c r="T3790" s="16">
        <f t="shared" si="357"/>
        <v>42361.679166666669</v>
      </c>
      <c r="U3790">
        <f t="shared" si="358"/>
        <v>28</v>
      </c>
      <c r="V3790">
        <f t="shared" si="35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 s="8">
        <f t="shared" si="355"/>
        <v>29</v>
      </c>
      <c r="Q3791" s="10" t="s">
        <v>8315</v>
      </c>
      <c r="R3791" s="10" t="s">
        <v>8357</v>
      </c>
      <c r="S3791" s="16">
        <f t="shared" si="356"/>
        <v>42138.798819444448</v>
      </c>
      <c r="T3791" s="16">
        <f t="shared" si="357"/>
        <v>42170.798819444448</v>
      </c>
      <c r="U3791">
        <f t="shared" si="358"/>
        <v>32</v>
      </c>
      <c r="V3791">
        <f t="shared" si="35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 s="8">
        <f t="shared" si="355"/>
        <v>0</v>
      </c>
      <c r="Q3792" s="10" t="s">
        <v>8315</v>
      </c>
      <c r="R3792" s="10" t="s">
        <v>8357</v>
      </c>
      <c r="S3792" s="16">
        <f t="shared" si="356"/>
        <v>42666.666932870372</v>
      </c>
      <c r="T3792" s="16">
        <f t="shared" si="357"/>
        <v>42696.708599537036</v>
      </c>
      <c r="U3792">
        <f t="shared" si="358"/>
        <v>30</v>
      </c>
      <c r="V3792">
        <f t="shared" si="35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 s="8">
        <f t="shared" si="355"/>
        <v>0</v>
      </c>
      <c r="Q3793" s="10" t="s">
        <v>8315</v>
      </c>
      <c r="R3793" s="10" t="s">
        <v>8357</v>
      </c>
      <c r="S3793" s="16">
        <f t="shared" si="356"/>
        <v>41766.692037037035</v>
      </c>
      <c r="T3793" s="16">
        <f t="shared" si="357"/>
        <v>41826.692037037035</v>
      </c>
      <c r="U3793">
        <f t="shared" si="358"/>
        <v>60</v>
      </c>
      <c r="V3793">
        <f t="shared" si="35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 s="8">
        <f t="shared" si="355"/>
        <v>17.5</v>
      </c>
      <c r="Q3794" s="10" t="s">
        <v>8315</v>
      </c>
      <c r="R3794" s="10" t="s">
        <v>8357</v>
      </c>
      <c r="S3794" s="16">
        <f t="shared" si="356"/>
        <v>42170.447013888886</v>
      </c>
      <c r="T3794" s="16">
        <f t="shared" si="357"/>
        <v>42200.447013888886</v>
      </c>
      <c r="U3794">
        <f t="shared" si="358"/>
        <v>30</v>
      </c>
      <c r="V3794">
        <f t="shared" si="35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 s="8">
        <f t="shared" si="355"/>
        <v>174</v>
      </c>
      <c r="Q3795" s="10" t="s">
        <v>8315</v>
      </c>
      <c r="R3795" s="10" t="s">
        <v>8357</v>
      </c>
      <c r="S3795" s="16">
        <f t="shared" si="356"/>
        <v>41968.938993055555</v>
      </c>
      <c r="T3795" s="16">
        <f t="shared" si="357"/>
        <v>41989.938993055555</v>
      </c>
      <c r="U3795">
        <f t="shared" si="358"/>
        <v>21</v>
      </c>
      <c r="V3795">
        <f t="shared" si="35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 s="8">
        <f t="shared" si="355"/>
        <v>50</v>
      </c>
      <c r="Q3796" s="10" t="s">
        <v>8315</v>
      </c>
      <c r="R3796" s="10" t="s">
        <v>8357</v>
      </c>
      <c r="S3796" s="16">
        <f t="shared" si="356"/>
        <v>42132.58048611111</v>
      </c>
      <c r="T3796" s="16">
        <f t="shared" si="357"/>
        <v>42162.58048611111</v>
      </c>
      <c r="U3796">
        <f t="shared" si="358"/>
        <v>30</v>
      </c>
      <c r="V3796">
        <f t="shared" si="35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 s="8">
        <f t="shared" si="355"/>
        <v>5</v>
      </c>
      <c r="Q3797" s="10" t="s">
        <v>8315</v>
      </c>
      <c r="R3797" s="10" t="s">
        <v>8357</v>
      </c>
      <c r="S3797" s="16">
        <f t="shared" si="356"/>
        <v>42201.436226851853</v>
      </c>
      <c r="T3797" s="16">
        <f t="shared" si="357"/>
        <v>42244.9375</v>
      </c>
      <c r="U3797">
        <f t="shared" si="358"/>
        <v>44</v>
      </c>
      <c r="V3797">
        <f t="shared" si="35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 s="8">
        <f t="shared" si="355"/>
        <v>1</v>
      </c>
      <c r="Q3798" s="10" t="s">
        <v>8315</v>
      </c>
      <c r="R3798" s="10" t="s">
        <v>8357</v>
      </c>
      <c r="S3798" s="16">
        <f t="shared" si="356"/>
        <v>42689.029583333337</v>
      </c>
      <c r="T3798" s="16">
        <f t="shared" si="357"/>
        <v>42749.029583333337</v>
      </c>
      <c r="U3798">
        <f t="shared" si="358"/>
        <v>60</v>
      </c>
      <c r="V3798">
        <f t="shared" si="35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 s="8">
        <f t="shared" si="355"/>
        <v>145.41</v>
      </c>
      <c r="Q3799" s="10" t="s">
        <v>8315</v>
      </c>
      <c r="R3799" s="10" t="s">
        <v>8357</v>
      </c>
      <c r="S3799" s="16">
        <f t="shared" si="356"/>
        <v>42084.881539351853</v>
      </c>
      <c r="T3799" s="16">
        <f t="shared" si="357"/>
        <v>42114.881539351853</v>
      </c>
      <c r="U3799">
        <f t="shared" si="358"/>
        <v>30</v>
      </c>
      <c r="V3799">
        <f t="shared" si="35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 s="8">
        <f t="shared" si="355"/>
        <v>205</v>
      </c>
      <c r="Q3800" s="10" t="s">
        <v>8315</v>
      </c>
      <c r="R3800" s="10" t="s">
        <v>8357</v>
      </c>
      <c r="S3800" s="16">
        <f t="shared" si="356"/>
        <v>41831.722777777781</v>
      </c>
      <c r="T3800" s="16">
        <f t="shared" si="357"/>
        <v>41861.722777777781</v>
      </c>
      <c r="U3800">
        <f t="shared" si="358"/>
        <v>30</v>
      </c>
      <c r="V3800">
        <f t="shared" si="35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 s="8">
        <f t="shared" si="355"/>
        <v>100.5</v>
      </c>
      <c r="Q3801" s="10" t="s">
        <v>8315</v>
      </c>
      <c r="R3801" s="10" t="s">
        <v>8357</v>
      </c>
      <c r="S3801" s="16">
        <f t="shared" si="356"/>
        <v>42410.93105324074</v>
      </c>
      <c r="T3801" s="16">
        <f t="shared" si="357"/>
        <v>42440.93105324074</v>
      </c>
      <c r="U3801">
        <f t="shared" si="358"/>
        <v>30</v>
      </c>
      <c r="V3801">
        <f t="shared" si="35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 s="8">
        <f t="shared" si="355"/>
        <v>55.06</v>
      </c>
      <c r="Q3802" s="10" t="s">
        <v>8315</v>
      </c>
      <c r="R3802" s="10" t="s">
        <v>8357</v>
      </c>
      <c r="S3802" s="16">
        <f t="shared" si="356"/>
        <v>41982.737071759257</v>
      </c>
      <c r="T3802" s="16">
        <f t="shared" si="357"/>
        <v>42015.207638888889</v>
      </c>
      <c r="U3802">
        <f t="shared" si="358"/>
        <v>32</v>
      </c>
      <c r="V3802">
        <f t="shared" si="35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 s="8">
        <f t="shared" si="355"/>
        <v>47.33</v>
      </c>
      <c r="Q3803" s="10" t="s">
        <v>8315</v>
      </c>
      <c r="R3803" s="10" t="s">
        <v>8357</v>
      </c>
      <c r="S3803" s="16">
        <f t="shared" si="356"/>
        <v>41975.676111111112</v>
      </c>
      <c r="T3803" s="16">
        <f t="shared" si="357"/>
        <v>42006.676111111112</v>
      </c>
      <c r="U3803">
        <f t="shared" si="358"/>
        <v>31</v>
      </c>
      <c r="V3803">
        <f t="shared" si="35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 s="8">
        <f t="shared" si="355"/>
        <v>0</v>
      </c>
      <c r="Q3804" s="10" t="s">
        <v>8315</v>
      </c>
      <c r="R3804" s="10" t="s">
        <v>8357</v>
      </c>
      <c r="S3804" s="16">
        <f t="shared" si="356"/>
        <v>42269.126226851848</v>
      </c>
      <c r="T3804" s="16">
        <f t="shared" si="357"/>
        <v>42299.126226851848</v>
      </c>
      <c r="U3804">
        <f t="shared" si="358"/>
        <v>30</v>
      </c>
      <c r="V3804">
        <f t="shared" si="35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 s="8">
        <f t="shared" si="355"/>
        <v>58.95</v>
      </c>
      <c r="Q3805" s="10" t="s">
        <v>8315</v>
      </c>
      <c r="R3805" s="10" t="s">
        <v>8357</v>
      </c>
      <c r="S3805" s="16">
        <f t="shared" si="356"/>
        <v>42403.971851851849</v>
      </c>
      <c r="T3805" s="16">
        <f t="shared" si="357"/>
        <v>42433.971851851849</v>
      </c>
      <c r="U3805">
        <f t="shared" si="358"/>
        <v>30</v>
      </c>
      <c r="V3805">
        <f t="shared" si="35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 s="8">
        <f t="shared" si="355"/>
        <v>0</v>
      </c>
      <c r="Q3806" s="10" t="s">
        <v>8315</v>
      </c>
      <c r="R3806" s="10" t="s">
        <v>8357</v>
      </c>
      <c r="S3806" s="16">
        <f t="shared" si="356"/>
        <v>42527.00953703704</v>
      </c>
      <c r="T3806" s="16">
        <f t="shared" si="357"/>
        <v>42582.291666666672</v>
      </c>
      <c r="U3806">
        <f t="shared" si="358"/>
        <v>55</v>
      </c>
      <c r="V3806">
        <f t="shared" si="35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 s="8">
        <f t="shared" si="355"/>
        <v>1.5</v>
      </c>
      <c r="Q3807" s="10" t="s">
        <v>8315</v>
      </c>
      <c r="R3807" s="10" t="s">
        <v>8357</v>
      </c>
      <c r="S3807" s="16">
        <f t="shared" si="356"/>
        <v>41849.887037037035</v>
      </c>
      <c r="T3807" s="16">
        <f t="shared" si="357"/>
        <v>41909.887037037035</v>
      </c>
      <c r="U3807">
        <f t="shared" si="358"/>
        <v>60</v>
      </c>
      <c r="V3807">
        <f t="shared" si="35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 s="8">
        <f t="shared" si="355"/>
        <v>5</v>
      </c>
      <c r="Q3808" s="10" t="s">
        <v>8315</v>
      </c>
      <c r="R3808" s="10" t="s">
        <v>8357</v>
      </c>
      <c r="S3808" s="16">
        <f t="shared" si="356"/>
        <v>41799.259039351848</v>
      </c>
      <c r="T3808" s="16">
        <f t="shared" si="357"/>
        <v>41819.259039351848</v>
      </c>
      <c r="U3808">
        <f t="shared" si="358"/>
        <v>20</v>
      </c>
      <c r="V3808">
        <f t="shared" si="35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 s="8">
        <f t="shared" si="355"/>
        <v>50.56</v>
      </c>
      <c r="Q3809" s="10" t="s">
        <v>8315</v>
      </c>
      <c r="R3809" s="10" t="s">
        <v>8357</v>
      </c>
      <c r="S3809" s="16">
        <f t="shared" si="356"/>
        <v>42090.909016203703</v>
      </c>
      <c r="T3809" s="16">
        <f t="shared" si="357"/>
        <v>42097.909016203703</v>
      </c>
      <c r="U3809">
        <f t="shared" si="358"/>
        <v>7</v>
      </c>
      <c r="V3809">
        <f t="shared" si="35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 s="8">
        <f t="shared" si="355"/>
        <v>41.67</v>
      </c>
      <c r="Q3810" s="10" t="s">
        <v>8315</v>
      </c>
      <c r="R3810" s="10" t="s">
        <v>8316</v>
      </c>
      <c r="S3810" s="16">
        <f t="shared" si="356"/>
        <v>42059.453923611116</v>
      </c>
      <c r="T3810" s="16">
        <f t="shared" si="357"/>
        <v>42119.412256944444</v>
      </c>
      <c r="U3810">
        <f t="shared" si="358"/>
        <v>60</v>
      </c>
      <c r="V3810">
        <f t="shared" si="35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 s="8">
        <f t="shared" si="355"/>
        <v>53.29</v>
      </c>
      <c r="Q3811" s="10" t="s">
        <v>8315</v>
      </c>
      <c r="R3811" s="10" t="s">
        <v>8316</v>
      </c>
      <c r="S3811" s="16">
        <f t="shared" si="356"/>
        <v>41800.526701388888</v>
      </c>
      <c r="T3811" s="16">
        <f t="shared" si="357"/>
        <v>41850.958333333336</v>
      </c>
      <c r="U3811">
        <f t="shared" si="358"/>
        <v>50</v>
      </c>
      <c r="V3811">
        <f t="shared" si="35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 s="8">
        <f t="shared" si="355"/>
        <v>70.23</v>
      </c>
      <c r="Q3812" s="10" t="s">
        <v>8315</v>
      </c>
      <c r="R3812" s="10" t="s">
        <v>8316</v>
      </c>
      <c r="S3812" s="16">
        <f t="shared" si="356"/>
        <v>42054.849050925928</v>
      </c>
      <c r="T3812" s="16">
        <f t="shared" si="357"/>
        <v>42084.807384259257</v>
      </c>
      <c r="U3812">
        <f t="shared" si="358"/>
        <v>30</v>
      </c>
      <c r="V3812">
        <f t="shared" si="35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 s="8">
        <f t="shared" si="355"/>
        <v>43.42</v>
      </c>
      <c r="Q3813" s="10" t="s">
        <v>8315</v>
      </c>
      <c r="R3813" s="10" t="s">
        <v>8316</v>
      </c>
      <c r="S3813" s="16">
        <f t="shared" si="356"/>
        <v>42487.62700231481</v>
      </c>
      <c r="T3813" s="16">
        <f t="shared" si="357"/>
        <v>42521.458333333328</v>
      </c>
      <c r="U3813">
        <f t="shared" si="358"/>
        <v>34</v>
      </c>
      <c r="V3813">
        <f t="shared" si="35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 s="8">
        <f t="shared" si="355"/>
        <v>199.18</v>
      </c>
      <c r="Q3814" s="10" t="s">
        <v>8315</v>
      </c>
      <c r="R3814" s="10" t="s">
        <v>8316</v>
      </c>
      <c r="S3814" s="16">
        <f t="shared" si="356"/>
        <v>42109.751250000001</v>
      </c>
      <c r="T3814" s="16">
        <f t="shared" si="357"/>
        <v>42156.165972222225</v>
      </c>
      <c r="U3814">
        <f t="shared" si="358"/>
        <v>46</v>
      </c>
      <c r="V3814">
        <f t="shared" si="35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 s="8">
        <f t="shared" si="355"/>
        <v>78.52</v>
      </c>
      <c r="Q3815" s="10" t="s">
        <v>8315</v>
      </c>
      <c r="R3815" s="10" t="s">
        <v>8316</v>
      </c>
      <c r="S3815" s="16">
        <f t="shared" si="356"/>
        <v>42497.275706018518</v>
      </c>
      <c r="T3815" s="16">
        <f t="shared" si="357"/>
        <v>42535.904861111107</v>
      </c>
      <c r="U3815">
        <f t="shared" si="358"/>
        <v>39</v>
      </c>
      <c r="V3815">
        <f t="shared" si="35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 s="8">
        <f t="shared" si="355"/>
        <v>61.82</v>
      </c>
      <c r="Q3816" s="10" t="s">
        <v>8315</v>
      </c>
      <c r="R3816" s="10" t="s">
        <v>8316</v>
      </c>
      <c r="S3816" s="16">
        <f t="shared" si="356"/>
        <v>42058.904074074075</v>
      </c>
      <c r="T3816" s="16">
        <f t="shared" si="357"/>
        <v>42095.165972222225</v>
      </c>
      <c r="U3816">
        <f t="shared" si="358"/>
        <v>36</v>
      </c>
      <c r="V3816">
        <f t="shared" si="35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 s="8">
        <f t="shared" si="355"/>
        <v>50</v>
      </c>
      <c r="Q3817" s="10" t="s">
        <v>8315</v>
      </c>
      <c r="R3817" s="10" t="s">
        <v>8316</v>
      </c>
      <c r="S3817" s="16">
        <f t="shared" si="356"/>
        <v>42207.259918981479</v>
      </c>
      <c r="T3817" s="16">
        <f t="shared" si="357"/>
        <v>42236.958333333328</v>
      </c>
      <c r="U3817">
        <f t="shared" si="358"/>
        <v>30</v>
      </c>
      <c r="V3817">
        <f t="shared" si="35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 s="8">
        <f t="shared" si="355"/>
        <v>48.34</v>
      </c>
      <c r="Q3818" s="10" t="s">
        <v>8315</v>
      </c>
      <c r="R3818" s="10" t="s">
        <v>8316</v>
      </c>
      <c r="S3818" s="16">
        <f t="shared" si="356"/>
        <v>41807.690081018518</v>
      </c>
      <c r="T3818" s="16">
        <f t="shared" si="357"/>
        <v>41837.690081018518</v>
      </c>
      <c r="U3818">
        <f t="shared" si="358"/>
        <v>30</v>
      </c>
      <c r="V3818">
        <f t="shared" si="35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 s="8">
        <f t="shared" si="355"/>
        <v>107.25</v>
      </c>
      <c r="Q3819" s="10" t="s">
        <v>8315</v>
      </c>
      <c r="R3819" s="10" t="s">
        <v>8316</v>
      </c>
      <c r="S3819" s="16">
        <f t="shared" si="356"/>
        <v>42284.69694444444</v>
      </c>
      <c r="T3819" s="16">
        <f t="shared" si="357"/>
        <v>42301.165972222225</v>
      </c>
      <c r="U3819">
        <f t="shared" si="358"/>
        <v>16</v>
      </c>
      <c r="V3819">
        <f t="shared" si="35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 s="8">
        <f t="shared" si="355"/>
        <v>57</v>
      </c>
      <c r="Q3820" s="10" t="s">
        <v>8315</v>
      </c>
      <c r="R3820" s="10" t="s">
        <v>8316</v>
      </c>
      <c r="S3820" s="16">
        <f t="shared" si="356"/>
        <v>42045.84238425926</v>
      </c>
      <c r="T3820" s="16">
        <f t="shared" si="357"/>
        <v>42075.800717592589</v>
      </c>
      <c r="U3820">
        <f t="shared" si="358"/>
        <v>30</v>
      </c>
      <c r="V3820">
        <f t="shared" si="35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 s="8">
        <f t="shared" si="355"/>
        <v>40.92</v>
      </c>
      <c r="Q3821" s="10" t="s">
        <v>8315</v>
      </c>
      <c r="R3821" s="10" t="s">
        <v>8316</v>
      </c>
      <c r="S3821" s="16">
        <f t="shared" si="356"/>
        <v>42184.209537037037</v>
      </c>
      <c r="T3821" s="16">
        <f t="shared" si="357"/>
        <v>42202.876388888893</v>
      </c>
      <c r="U3821">
        <f t="shared" si="358"/>
        <v>19</v>
      </c>
      <c r="V3821">
        <f t="shared" si="35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 s="8">
        <f t="shared" si="355"/>
        <v>21.5</v>
      </c>
      <c r="Q3822" s="10" t="s">
        <v>8315</v>
      </c>
      <c r="R3822" s="10" t="s">
        <v>8316</v>
      </c>
      <c r="S3822" s="16">
        <f t="shared" si="356"/>
        <v>42160.651817129634</v>
      </c>
      <c r="T3822" s="16">
        <f t="shared" si="357"/>
        <v>42190.651817129634</v>
      </c>
      <c r="U3822">
        <f t="shared" si="358"/>
        <v>30</v>
      </c>
      <c r="V3822">
        <f t="shared" si="35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 s="8">
        <f t="shared" si="355"/>
        <v>79.540000000000006</v>
      </c>
      <c r="Q3823" s="10" t="s">
        <v>8315</v>
      </c>
      <c r="R3823" s="10" t="s">
        <v>8316</v>
      </c>
      <c r="S3823" s="16">
        <f t="shared" si="356"/>
        <v>42341.180636574078</v>
      </c>
      <c r="T3823" s="16">
        <f t="shared" si="357"/>
        <v>42373.180636574078</v>
      </c>
      <c r="U3823">
        <f t="shared" si="358"/>
        <v>32</v>
      </c>
      <c r="V3823">
        <f t="shared" si="35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 s="8">
        <f t="shared" si="355"/>
        <v>72.38</v>
      </c>
      <c r="Q3824" s="10" t="s">
        <v>8315</v>
      </c>
      <c r="R3824" s="10" t="s">
        <v>8316</v>
      </c>
      <c r="S3824" s="16">
        <f t="shared" si="356"/>
        <v>42329.838159722218</v>
      </c>
      <c r="T3824" s="16">
        <f t="shared" si="357"/>
        <v>42388.957638888889</v>
      </c>
      <c r="U3824">
        <f t="shared" si="358"/>
        <v>59</v>
      </c>
      <c r="V3824">
        <f t="shared" si="35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 s="8">
        <f t="shared" si="355"/>
        <v>64.63</v>
      </c>
      <c r="Q3825" s="10" t="s">
        <v>8315</v>
      </c>
      <c r="R3825" s="10" t="s">
        <v>8316</v>
      </c>
      <c r="S3825" s="16">
        <f t="shared" si="356"/>
        <v>42170.910231481481</v>
      </c>
      <c r="T3825" s="16">
        <f t="shared" si="357"/>
        <v>42205.165972222225</v>
      </c>
      <c r="U3825">
        <f t="shared" si="358"/>
        <v>34</v>
      </c>
      <c r="V3825">
        <f t="shared" si="35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 s="8">
        <f t="shared" si="355"/>
        <v>38.57</v>
      </c>
      <c r="Q3826" s="10" t="s">
        <v>8315</v>
      </c>
      <c r="R3826" s="10" t="s">
        <v>8316</v>
      </c>
      <c r="S3826" s="16">
        <f t="shared" si="356"/>
        <v>42571.626192129625</v>
      </c>
      <c r="T3826" s="16">
        <f t="shared" si="357"/>
        <v>42583.570138888885</v>
      </c>
      <c r="U3826">
        <f t="shared" si="358"/>
        <v>12</v>
      </c>
      <c r="V3826">
        <f t="shared" si="35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 s="8">
        <f t="shared" si="355"/>
        <v>107.57</v>
      </c>
      <c r="Q3827" s="10" t="s">
        <v>8315</v>
      </c>
      <c r="R3827" s="10" t="s">
        <v>8316</v>
      </c>
      <c r="S3827" s="16">
        <f t="shared" si="356"/>
        <v>42151.069606481484</v>
      </c>
      <c r="T3827" s="16">
        <f t="shared" si="357"/>
        <v>42172.069606481484</v>
      </c>
      <c r="U3827">
        <f t="shared" si="358"/>
        <v>21</v>
      </c>
      <c r="V3827">
        <f t="shared" si="35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 s="8">
        <f t="shared" si="355"/>
        <v>27.5</v>
      </c>
      <c r="Q3828" s="10" t="s">
        <v>8315</v>
      </c>
      <c r="R3828" s="10" t="s">
        <v>8316</v>
      </c>
      <c r="S3828" s="16">
        <f t="shared" si="356"/>
        <v>42101.423541666663</v>
      </c>
      <c r="T3828" s="16">
        <f t="shared" si="357"/>
        <v>42131.423541666663</v>
      </c>
      <c r="U3828">
        <f t="shared" si="358"/>
        <v>30</v>
      </c>
      <c r="V3828">
        <f t="shared" si="35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 s="8">
        <f t="shared" si="355"/>
        <v>70.459999999999994</v>
      </c>
      <c r="Q3829" s="10" t="s">
        <v>8315</v>
      </c>
      <c r="R3829" s="10" t="s">
        <v>8316</v>
      </c>
      <c r="S3829" s="16">
        <f t="shared" si="356"/>
        <v>42034.928252314814</v>
      </c>
      <c r="T3829" s="16">
        <f t="shared" si="357"/>
        <v>42090</v>
      </c>
      <c r="U3829">
        <f t="shared" si="358"/>
        <v>55</v>
      </c>
      <c r="V3829">
        <f t="shared" si="35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 s="8">
        <f t="shared" si="355"/>
        <v>178.57</v>
      </c>
      <c r="Q3830" s="10" t="s">
        <v>8315</v>
      </c>
      <c r="R3830" s="10" t="s">
        <v>8316</v>
      </c>
      <c r="S3830" s="16">
        <f t="shared" si="356"/>
        <v>41944.527627314819</v>
      </c>
      <c r="T3830" s="16">
        <f t="shared" si="357"/>
        <v>42004.569293981483</v>
      </c>
      <c r="U3830">
        <f t="shared" si="358"/>
        <v>60</v>
      </c>
      <c r="V3830">
        <f t="shared" si="35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 s="8">
        <f t="shared" si="355"/>
        <v>62.63</v>
      </c>
      <c r="Q3831" s="10" t="s">
        <v>8315</v>
      </c>
      <c r="R3831" s="10" t="s">
        <v>8316</v>
      </c>
      <c r="S3831" s="16">
        <f t="shared" si="356"/>
        <v>42593.865405092598</v>
      </c>
      <c r="T3831" s="16">
        <f t="shared" si="357"/>
        <v>42613.865405092598</v>
      </c>
      <c r="U3831">
        <f t="shared" si="358"/>
        <v>20</v>
      </c>
      <c r="V3831">
        <f t="shared" si="35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 s="8">
        <f t="shared" si="355"/>
        <v>75</v>
      </c>
      <c r="Q3832" s="10" t="s">
        <v>8315</v>
      </c>
      <c r="R3832" s="10" t="s">
        <v>8316</v>
      </c>
      <c r="S3832" s="16">
        <f t="shared" si="356"/>
        <v>42503.740868055553</v>
      </c>
      <c r="T3832" s="16">
        <f t="shared" si="357"/>
        <v>42517.740868055553</v>
      </c>
      <c r="U3832">
        <f t="shared" si="358"/>
        <v>14</v>
      </c>
      <c r="V3832">
        <f t="shared" si="35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 s="8">
        <f t="shared" si="355"/>
        <v>58.9</v>
      </c>
      <c r="Q3833" s="10" t="s">
        <v>8315</v>
      </c>
      <c r="R3833" s="10" t="s">
        <v>8316</v>
      </c>
      <c r="S3833" s="16">
        <f t="shared" si="356"/>
        <v>41927.848900462966</v>
      </c>
      <c r="T3833" s="16">
        <f t="shared" si="357"/>
        <v>41948.890567129631</v>
      </c>
      <c r="U3833">
        <f t="shared" si="358"/>
        <v>21</v>
      </c>
      <c r="V3833">
        <f t="shared" si="35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 s="8">
        <f t="shared" si="355"/>
        <v>139.56</v>
      </c>
      <c r="Q3834" s="10" t="s">
        <v>8315</v>
      </c>
      <c r="R3834" s="10" t="s">
        <v>8316</v>
      </c>
      <c r="S3834" s="16">
        <f t="shared" si="356"/>
        <v>42375.114988425921</v>
      </c>
      <c r="T3834" s="16">
        <f t="shared" si="357"/>
        <v>42420.114988425921</v>
      </c>
      <c r="U3834">
        <f t="shared" si="358"/>
        <v>45</v>
      </c>
      <c r="V3834">
        <f t="shared" si="35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 s="8">
        <f t="shared" si="355"/>
        <v>70</v>
      </c>
      <c r="Q3835" s="10" t="s">
        <v>8315</v>
      </c>
      <c r="R3835" s="10" t="s">
        <v>8316</v>
      </c>
      <c r="S3835" s="16">
        <f t="shared" si="356"/>
        <v>41963.872361111105</v>
      </c>
      <c r="T3835" s="16">
        <f t="shared" si="357"/>
        <v>41974.797916666663</v>
      </c>
      <c r="U3835">
        <f t="shared" si="358"/>
        <v>11</v>
      </c>
      <c r="V3835">
        <f t="shared" si="35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 s="8">
        <f t="shared" si="355"/>
        <v>57.39</v>
      </c>
      <c r="Q3836" s="10" t="s">
        <v>8315</v>
      </c>
      <c r="R3836" s="10" t="s">
        <v>8316</v>
      </c>
      <c r="S3836" s="16">
        <f t="shared" si="356"/>
        <v>42143.445219907408</v>
      </c>
      <c r="T3836" s="16">
        <f t="shared" si="357"/>
        <v>42173.445219907408</v>
      </c>
      <c r="U3836">
        <f t="shared" si="358"/>
        <v>30</v>
      </c>
      <c r="V3836">
        <f t="shared" si="35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 s="8">
        <f t="shared" si="355"/>
        <v>40</v>
      </c>
      <c r="Q3837" s="10" t="s">
        <v>8315</v>
      </c>
      <c r="R3837" s="10" t="s">
        <v>8316</v>
      </c>
      <c r="S3837" s="16">
        <f t="shared" si="356"/>
        <v>42460.94222222222</v>
      </c>
      <c r="T3837" s="16">
        <f t="shared" si="357"/>
        <v>42481.94222222222</v>
      </c>
      <c r="U3837">
        <f t="shared" si="358"/>
        <v>21</v>
      </c>
      <c r="V3837">
        <f t="shared" si="35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 s="8">
        <f t="shared" si="355"/>
        <v>64.290000000000006</v>
      </c>
      <c r="Q3838" s="10" t="s">
        <v>8315</v>
      </c>
      <c r="R3838" s="10" t="s">
        <v>8316</v>
      </c>
      <c r="S3838" s="16">
        <f t="shared" si="356"/>
        <v>42553.926527777774</v>
      </c>
      <c r="T3838" s="16">
        <f t="shared" si="357"/>
        <v>42585.172916666663</v>
      </c>
      <c r="U3838">
        <f t="shared" si="358"/>
        <v>31</v>
      </c>
      <c r="V3838">
        <f t="shared" si="35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 s="8">
        <f t="shared" si="355"/>
        <v>120.12</v>
      </c>
      <c r="Q3839" s="10" t="s">
        <v>8315</v>
      </c>
      <c r="R3839" s="10" t="s">
        <v>8316</v>
      </c>
      <c r="S3839" s="16">
        <f t="shared" si="356"/>
        <v>42152.765717592592</v>
      </c>
      <c r="T3839" s="16">
        <f t="shared" si="357"/>
        <v>42188.765717592592</v>
      </c>
      <c r="U3839">
        <f t="shared" si="358"/>
        <v>36</v>
      </c>
      <c r="V3839">
        <f t="shared" si="35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 s="8">
        <f t="shared" si="355"/>
        <v>1008.24</v>
      </c>
      <c r="Q3840" s="10" t="s">
        <v>8315</v>
      </c>
      <c r="R3840" s="10" t="s">
        <v>8316</v>
      </c>
      <c r="S3840" s="16">
        <f t="shared" si="356"/>
        <v>42116.710752314815</v>
      </c>
      <c r="T3840" s="16">
        <f t="shared" si="357"/>
        <v>42146.710752314815</v>
      </c>
      <c r="U3840">
        <f t="shared" si="358"/>
        <v>30</v>
      </c>
      <c r="V3840">
        <f t="shared" si="35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 s="8">
        <f t="shared" si="355"/>
        <v>63.28</v>
      </c>
      <c r="Q3841" s="10" t="s">
        <v>8315</v>
      </c>
      <c r="R3841" s="10" t="s">
        <v>8316</v>
      </c>
      <c r="S3841" s="16">
        <f t="shared" si="356"/>
        <v>42155.142638888887</v>
      </c>
      <c r="T3841" s="16">
        <f t="shared" si="357"/>
        <v>42215.142638888887</v>
      </c>
      <c r="U3841">
        <f t="shared" si="358"/>
        <v>60</v>
      </c>
      <c r="V3841">
        <f t="shared" si="35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ROUND((E3842/D3842)*100, 0)</f>
        <v>6500</v>
      </c>
      <c r="P3842" s="8">
        <f t="shared" ref="P3842:P3905" si="361">IFERROR(ROUND(E3842/L3842, 2), 0)</f>
        <v>21.67</v>
      </c>
      <c r="Q3842" s="10" t="s">
        <v>8315</v>
      </c>
      <c r="R3842" s="10" t="s">
        <v>8316</v>
      </c>
      <c r="S3842" s="16">
        <f t="shared" ref="S3842:S3905" si="362">(J3842/60/60/24)+DATE(1970, 1, 1)</f>
        <v>42432.701724537037</v>
      </c>
      <c r="T3842" s="16">
        <f t="shared" ref="T3842:T3905" si="363">(I3842/60/60/24)+DATE(1970, 1, 1)</f>
        <v>42457.660057870366</v>
      </c>
      <c r="U3842">
        <f t="shared" si="358"/>
        <v>25</v>
      </c>
      <c r="V3842">
        <f t="shared" si="35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 s="8">
        <f t="shared" si="361"/>
        <v>25.65</v>
      </c>
      <c r="Q3843" s="10" t="s">
        <v>8315</v>
      </c>
      <c r="R3843" s="10" t="s">
        <v>8316</v>
      </c>
      <c r="S3843" s="16">
        <f t="shared" si="362"/>
        <v>41780.785729166666</v>
      </c>
      <c r="T3843" s="16">
        <f t="shared" si="363"/>
        <v>41840.785729166666</v>
      </c>
      <c r="U3843">
        <f t="shared" ref="U3843:U3906" si="364">ROUND(T3843-S3843, 0)</f>
        <v>60</v>
      </c>
      <c r="V3843">
        <f t="shared" ref="V3843:V3906" si="365">YEAR($S3843)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 s="8">
        <f t="shared" si="361"/>
        <v>47.7</v>
      </c>
      <c r="Q3844" s="10" t="s">
        <v>8315</v>
      </c>
      <c r="R3844" s="10" t="s">
        <v>8316</v>
      </c>
      <c r="S3844" s="16">
        <f t="shared" si="362"/>
        <v>41740.493657407409</v>
      </c>
      <c r="T3844" s="16">
        <f t="shared" si="363"/>
        <v>41770.493657407409</v>
      </c>
      <c r="U3844">
        <f t="shared" si="364"/>
        <v>30</v>
      </c>
      <c r="V3844">
        <f t="shared" si="365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 s="8">
        <f t="shared" si="361"/>
        <v>56.05</v>
      </c>
      <c r="Q3845" s="10" t="s">
        <v>8315</v>
      </c>
      <c r="R3845" s="10" t="s">
        <v>8316</v>
      </c>
      <c r="S3845" s="16">
        <f t="shared" si="362"/>
        <v>41766.072500000002</v>
      </c>
      <c r="T3845" s="16">
        <f t="shared" si="363"/>
        <v>41791.072500000002</v>
      </c>
      <c r="U3845">
        <f t="shared" si="364"/>
        <v>25</v>
      </c>
      <c r="V3845">
        <f t="shared" si="365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 s="8">
        <f t="shared" si="361"/>
        <v>81.319999999999993</v>
      </c>
      <c r="Q3846" s="10" t="s">
        <v>8315</v>
      </c>
      <c r="R3846" s="10" t="s">
        <v>8316</v>
      </c>
      <c r="S3846" s="16">
        <f t="shared" si="362"/>
        <v>41766.617291666669</v>
      </c>
      <c r="T3846" s="16">
        <f t="shared" si="363"/>
        <v>41793.290972222225</v>
      </c>
      <c r="U3846">
        <f t="shared" si="364"/>
        <v>27</v>
      </c>
      <c r="V3846">
        <f t="shared" si="365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 s="8">
        <f t="shared" si="361"/>
        <v>70.17</v>
      </c>
      <c r="Q3847" s="10" t="s">
        <v>8315</v>
      </c>
      <c r="R3847" s="10" t="s">
        <v>8316</v>
      </c>
      <c r="S3847" s="16">
        <f t="shared" si="362"/>
        <v>42248.627013888887</v>
      </c>
      <c r="T3847" s="16">
        <f t="shared" si="363"/>
        <v>42278.627013888887</v>
      </c>
      <c r="U3847">
        <f t="shared" si="364"/>
        <v>30</v>
      </c>
      <c r="V3847">
        <f t="shared" si="365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 s="8">
        <f t="shared" si="361"/>
        <v>23.63</v>
      </c>
      <c r="Q3848" s="10" t="s">
        <v>8315</v>
      </c>
      <c r="R3848" s="10" t="s">
        <v>8316</v>
      </c>
      <c r="S3848" s="16">
        <f t="shared" si="362"/>
        <v>41885.221550925926</v>
      </c>
      <c r="T3848" s="16">
        <f t="shared" si="363"/>
        <v>41916.290972222225</v>
      </c>
      <c r="U3848">
        <f t="shared" si="364"/>
        <v>31</v>
      </c>
      <c r="V3848">
        <f t="shared" si="365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 s="8">
        <f t="shared" si="361"/>
        <v>188.56</v>
      </c>
      <c r="Q3849" s="10" t="s">
        <v>8315</v>
      </c>
      <c r="R3849" s="10" t="s">
        <v>8316</v>
      </c>
      <c r="S3849" s="16">
        <f t="shared" si="362"/>
        <v>42159.224432870367</v>
      </c>
      <c r="T3849" s="16">
        <f t="shared" si="363"/>
        <v>42204.224432870367</v>
      </c>
      <c r="U3849">
        <f t="shared" si="364"/>
        <v>45</v>
      </c>
      <c r="V3849">
        <f t="shared" si="365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 s="8">
        <f t="shared" si="361"/>
        <v>49.51</v>
      </c>
      <c r="Q3850" s="10" t="s">
        <v>8315</v>
      </c>
      <c r="R3850" s="10" t="s">
        <v>8316</v>
      </c>
      <c r="S3850" s="16">
        <f t="shared" si="362"/>
        <v>42265.817002314812</v>
      </c>
      <c r="T3850" s="16">
        <f t="shared" si="363"/>
        <v>42295.817002314812</v>
      </c>
      <c r="U3850">
        <f t="shared" si="364"/>
        <v>30</v>
      </c>
      <c r="V3850">
        <f t="shared" si="365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 s="8">
        <f t="shared" si="361"/>
        <v>75.459999999999994</v>
      </c>
      <c r="Q3851" s="10" t="s">
        <v>8315</v>
      </c>
      <c r="R3851" s="10" t="s">
        <v>8316</v>
      </c>
      <c r="S3851" s="16">
        <f t="shared" si="362"/>
        <v>42136.767175925925</v>
      </c>
      <c r="T3851" s="16">
        <f t="shared" si="363"/>
        <v>42166.767175925925</v>
      </c>
      <c r="U3851">
        <f t="shared" si="364"/>
        <v>30</v>
      </c>
      <c r="V3851">
        <f t="shared" si="365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 s="8">
        <f t="shared" si="361"/>
        <v>9.5</v>
      </c>
      <c r="Q3852" s="10" t="s">
        <v>8315</v>
      </c>
      <c r="R3852" s="10" t="s">
        <v>8316</v>
      </c>
      <c r="S3852" s="16">
        <f t="shared" si="362"/>
        <v>41975.124340277776</v>
      </c>
      <c r="T3852" s="16">
        <f t="shared" si="363"/>
        <v>42005.124340277776</v>
      </c>
      <c r="U3852">
        <f t="shared" si="364"/>
        <v>30</v>
      </c>
      <c r="V3852">
        <f t="shared" si="365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 s="8">
        <f t="shared" si="361"/>
        <v>35.5</v>
      </c>
      <c r="Q3853" s="10" t="s">
        <v>8315</v>
      </c>
      <c r="R3853" s="10" t="s">
        <v>8316</v>
      </c>
      <c r="S3853" s="16">
        <f t="shared" si="362"/>
        <v>42172.439571759256</v>
      </c>
      <c r="T3853" s="16">
        <f t="shared" si="363"/>
        <v>42202.439571759256</v>
      </c>
      <c r="U3853">
        <f t="shared" si="364"/>
        <v>30</v>
      </c>
      <c r="V3853">
        <f t="shared" si="365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 s="8">
        <f t="shared" si="361"/>
        <v>10</v>
      </c>
      <c r="Q3854" s="10" t="s">
        <v>8315</v>
      </c>
      <c r="R3854" s="10" t="s">
        <v>8316</v>
      </c>
      <c r="S3854" s="16">
        <f t="shared" si="362"/>
        <v>42065.190694444449</v>
      </c>
      <c r="T3854" s="16">
        <f t="shared" si="363"/>
        <v>42090.149027777778</v>
      </c>
      <c r="U3854">
        <f t="shared" si="364"/>
        <v>25</v>
      </c>
      <c r="V3854">
        <f t="shared" si="365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 s="8">
        <f t="shared" si="361"/>
        <v>13</v>
      </c>
      <c r="Q3855" s="10" t="s">
        <v>8315</v>
      </c>
      <c r="R3855" s="10" t="s">
        <v>8316</v>
      </c>
      <c r="S3855" s="16">
        <f t="shared" si="362"/>
        <v>41848.84002314815</v>
      </c>
      <c r="T3855" s="16">
        <f t="shared" si="363"/>
        <v>41883.84002314815</v>
      </c>
      <c r="U3855">
        <f t="shared" si="364"/>
        <v>35</v>
      </c>
      <c r="V3855">
        <f t="shared" si="365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 s="8">
        <f t="shared" si="361"/>
        <v>89.4</v>
      </c>
      <c r="Q3856" s="10" t="s">
        <v>8315</v>
      </c>
      <c r="R3856" s="10" t="s">
        <v>8316</v>
      </c>
      <c r="S3856" s="16">
        <f t="shared" si="362"/>
        <v>42103.884930555556</v>
      </c>
      <c r="T3856" s="16">
        <f t="shared" si="363"/>
        <v>42133.884930555556</v>
      </c>
      <c r="U3856">
        <f t="shared" si="364"/>
        <v>30</v>
      </c>
      <c r="V3856">
        <f t="shared" si="365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 s="8">
        <f t="shared" si="361"/>
        <v>25</v>
      </c>
      <c r="Q3857" s="10" t="s">
        <v>8315</v>
      </c>
      <c r="R3857" s="10" t="s">
        <v>8316</v>
      </c>
      <c r="S3857" s="16">
        <f t="shared" si="362"/>
        <v>42059.970729166671</v>
      </c>
      <c r="T3857" s="16">
        <f t="shared" si="363"/>
        <v>42089.929062499999</v>
      </c>
      <c r="U3857">
        <f t="shared" si="364"/>
        <v>30</v>
      </c>
      <c r="V3857">
        <f t="shared" si="365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 s="8">
        <f t="shared" si="361"/>
        <v>1</v>
      </c>
      <c r="Q3858" s="10" t="s">
        <v>8315</v>
      </c>
      <c r="R3858" s="10" t="s">
        <v>8316</v>
      </c>
      <c r="S3858" s="16">
        <f t="shared" si="362"/>
        <v>42041.743090277778</v>
      </c>
      <c r="T3858" s="16">
        <f t="shared" si="363"/>
        <v>42071.701423611114</v>
      </c>
      <c r="U3858">
        <f t="shared" si="364"/>
        <v>30</v>
      </c>
      <c r="V3858">
        <f t="shared" si="365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 s="8">
        <f t="shared" si="361"/>
        <v>65</v>
      </c>
      <c r="Q3859" s="10" t="s">
        <v>8315</v>
      </c>
      <c r="R3859" s="10" t="s">
        <v>8316</v>
      </c>
      <c r="S3859" s="16">
        <f t="shared" si="362"/>
        <v>41829.73715277778</v>
      </c>
      <c r="T3859" s="16">
        <f t="shared" si="363"/>
        <v>41852.716666666667</v>
      </c>
      <c r="U3859">
        <f t="shared" si="364"/>
        <v>23</v>
      </c>
      <c r="V3859">
        <f t="shared" si="365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 s="8">
        <f t="shared" si="361"/>
        <v>10</v>
      </c>
      <c r="Q3860" s="10" t="s">
        <v>8315</v>
      </c>
      <c r="R3860" s="10" t="s">
        <v>8316</v>
      </c>
      <c r="S3860" s="16">
        <f t="shared" si="362"/>
        <v>42128.431064814817</v>
      </c>
      <c r="T3860" s="16">
        <f t="shared" si="363"/>
        <v>42146.875</v>
      </c>
      <c r="U3860">
        <f t="shared" si="364"/>
        <v>18</v>
      </c>
      <c r="V3860">
        <f t="shared" si="365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 s="8">
        <f t="shared" si="361"/>
        <v>1</v>
      </c>
      <c r="Q3861" s="10" t="s">
        <v>8315</v>
      </c>
      <c r="R3861" s="10" t="s">
        <v>8316</v>
      </c>
      <c r="S3861" s="16">
        <f t="shared" si="362"/>
        <v>41789.893599537041</v>
      </c>
      <c r="T3861" s="16">
        <f t="shared" si="363"/>
        <v>41815.875</v>
      </c>
      <c r="U3861">
        <f t="shared" si="364"/>
        <v>26</v>
      </c>
      <c r="V3861">
        <f t="shared" si="365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 s="8">
        <f t="shared" si="361"/>
        <v>81.540000000000006</v>
      </c>
      <c r="Q3862" s="10" t="s">
        <v>8315</v>
      </c>
      <c r="R3862" s="10" t="s">
        <v>8316</v>
      </c>
      <c r="S3862" s="16">
        <f t="shared" si="362"/>
        <v>41833.660995370366</v>
      </c>
      <c r="T3862" s="16">
        <f t="shared" si="363"/>
        <v>41863.660995370366</v>
      </c>
      <c r="U3862">
        <f t="shared" si="364"/>
        <v>30</v>
      </c>
      <c r="V3862">
        <f t="shared" si="365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 s="8">
        <f t="shared" si="361"/>
        <v>100</v>
      </c>
      <c r="Q3863" s="10" t="s">
        <v>8315</v>
      </c>
      <c r="R3863" s="10" t="s">
        <v>8316</v>
      </c>
      <c r="S3863" s="16">
        <f t="shared" si="362"/>
        <v>41914.590011574073</v>
      </c>
      <c r="T3863" s="16">
        <f t="shared" si="363"/>
        <v>41955.907638888893</v>
      </c>
      <c r="U3863">
        <f t="shared" si="364"/>
        <v>41</v>
      </c>
      <c r="V3863">
        <f t="shared" si="365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 s="8">
        <f t="shared" si="361"/>
        <v>1</v>
      </c>
      <c r="Q3864" s="10" t="s">
        <v>8315</v>
      </c>
      <c r="R3864" s="10" t="s">
        <v>8316</v>
      </c>
      <c r="S3864" s="16">
        <f t="shared" si="362"/>
        <v>42611.261064814811</v>
      </c>
      <c r="T3864" s="16">
        <f t="shared" si="363"/>
        <v>42625.707638888889</v>
      </c>
      <c r="U3864">
        <f t="shared" si="364"/>
        <v>14</v>
      </c>
      <c r="V3864">
        <f t="shared" si="365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 s="8">
        <f t="shared" si="361"/>
        <v>0</v>
      </c>
      <c r="Q3865" s="10" t="s">
        <v>8315</v>
      </c>
      <c r="R3865" s="10" t="s">
        <v>8316</v>
      </c>
      <c r="S3865" s="16">
        <f t="shared" si="362"/>
        <v>42253.633159722223</v>
      </c>
      <c r="T3865" s="16">
        <f t="shared" si="363"/>
        <v>42313.674826388888</v>
      </c>
      <c r="U3865">
        <f t="shared" si="364"/>
        <v>60</v>
      </c>
      <c r="V3865">
        <f t="shared" si="365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 s="8">
        <f t="shared" si="361"/>
        <v>20</v>
      </c>
      <c r="Q3866" s="10" t="s">
        <v>8315</v>
      </c>
      <c r="R3866" s="10" t="s">
        <v>8316</v>
      </c>
      <c r="S3866" s="16">
        <f t="shared" si="362"/>
        <v>42295.891828703709</v>
      </c>
      <c r="T3866" s="16">
        <f t="shared" si="363"/>
        <v>42325.933495370366</v>
      </c>
      <c r="U3866">
        <f t="shared" si="364"/>
        <v>30</v>
      </c>
      <c r="V3866">
        <f t="shared" si="365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 s="8">
        <f t="shared" si="361"/>
        <v>46.43</v>
      </c>
      <c r="Q3867" s="10" t="s">
        <v>8315</v>
      </c>
      <c r="R3867" s="10" t="s">
        <v>8316</v>
      </c>
      <c r="S3867" s="16">
        <f t="shared" si="362"/>
        <v>41841.651597222226</v>
      </c>
      <c r="T3867" s="16">
        <f t="shared" si="363"/>
        <v>41881.229166666664</v>
      </c>
      <c r="U3867">
        <f t="shared" si="364"/>
        <v>40</v>
      </c>
      <c r="V3867">
        <f t="shared" si="365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 s="8">
        <f t="shared" si="361"/>
        <v>5.5</v>
      </c>
      <c r="Q3868" s="10" t="s">
        <v>8315</v>
      </c>
      <c r="R3868" s="10" t="s">
        <v>8316</v>
      </c>
      <c r="S3868" s="16">
        <f t="shared" si="362"/>
        <v>42402.947002314817</v>
      </c>
      <c r="T3868" s="16">
        <f t="shared" si="363"/>
        <v>42452.145138888889</v>
      </c>
      <c r="U3868">
        <f t="shared" si="364"/>
        <v>49</v>
      </c>
      <c r="V3868">
        <f t="shared" si="365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 s="8">
        <f t="shared" si="361"/>
        <v>50.2</v>
      </c>
      <c r="Q3869" s="10" t="s">
        <v>8315</v>
      </c>
      <c r="R3869" s="10" t="s">
        <v>8316</v>
      </c>
      <c r="S3869" s="16">
        <f t="shared" si="362"/>
        <v>42509.814108796301</v>
      </c>
      <c r="T3869" s="16">
        <f t="shared" si="363"/>
        <v>42539.814108796301</v>
      </c>
      <c r="U3869">
        <f t="shared" si="364"/>
        <v>30</v>
      </c>
      <c r="V3869">
        <f t="shared" si="365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 s="8">
        <f t="shared" si="361"/>
        <v>10</v>
      </c>
      <c r="Q3870" s="10" t="s">
        <v>8315</v>
      </c>
      <c r="R3870" s="10" t="s">
        <v>8357</v>
      </c>
      <c r="S3870" s="16">
        <f t="shared" si="362"/>
        <v>41865.659780092588</v>
      </c>
      <c r="T3870" s="16">
        <f t="shared" si="363"/>
        <v>41890.659780092588</v>
      </c>
      <c r="U3870">
        <f t="shared" si="364"/>
        <v>25</v>
      </c>
      <c r="V3870">
        <f t="shared" si="365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 s="8">
        <f t="shared" si="361"/>
        <v>30.13</v>
      </c>
      <c r="Q3871" s="10" t="s">
        <v>8315</v>
      </c>
      <c r="R3871" s="10" t="s">
        <v>8357</v>
      </c>
      <c r="S3871" s="16">
        <f t="shared" si="362"/>
        <v>42047.724444444444</v>
      </c>
      <c r="T3871" s="16">
        <f t="shared" si="363"/>
        <v>42077.132638888885</v>
      </c>
      <c r="U3871">
        <f t="shared" si="364"/>
        <v>29</v>
      </c>
      <c r="V3871">
        <f t="shared" si="365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 s="8">
        <f t="shared" si="361"/>
        <v>150</v>
      </c>
      <c r="Q3872" s="10" t="s">
        <v>8315</v>
      </c>
      <c r="R3872" s="10" t="s">
        <v>8357</v>
      </c>
      <c r="S3872" s="16">
        <f t="shared" si="362"/>
        <v>41793.17219907407</v>
      </c>
      <c r="T3872" s="16">
        <f t="shared" si="363"/>
        <v>41823.17219907407</v>
      </c>
      <c r="U3872">
        <f t="shared" si="364"/>
        <v>30</v>
      </c>
      <c r="V3872">
        <f t="shared" si="365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 s="8">
        <f t="shared" si="361"/>
        <v>13.33</v>
      </c>
      <c r="Q3873" s="10" t="s">
        <v>8315</v>
      </c>
      <c r="R3873" s="10" t="s">
        <v>8357</v>
      </c>
      <c r="S3873" s="16">
        <f t="shared" si="362"/>
        <v>42763.780671296292</v>
      </c>
      <c r="T3873" s="16">
        <f t="shared" si="363"/>
        <v>42823.739004629635</v>
      </c>
      <c r="U3873">
        <f t="shared" si="364"/>
        <v>60</v>
      </c>
      <c r="V3873">
        <f t="shared" si="365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 s="8">
        <f t="shared" si="361"/>
        <v>0</v>
      </c>
      <c r="Q3874" s="10" t="s">
        <v>8315</v>
      </c>
      <c r="R3874" s="10" t="s">
        <v>8357</v>
      </c>
      <c r="S3874" s="16">
        <f t="shared" si="362"/>
        <v>42180.145787037036</v>
      </c>
      <c r="T3874" s="16">
        <f t="shared" si="363"/>
        <v>42230.145787037036</v>
      </c>
      <c r="U3874">
        <f t="shared" si="364"/>
        <v>50</v>
      </c>
      <c r="V3874">
        <f t="shared" si="365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 s="8">
        <f t="shared" si="361"/>
        <v>0</v>
      </c>
      <c r="Q3875" s="10" t="s">
        <v>8315</v>
      </c>
      <c r="R3875" s="10" t="s">
        <v>8357</v>
      </c>
      <c r="S3875" s="16">
        <f t="shared" si="362"/>
        <v>42255.696006944447</v>
      </c>
      <c r="T3875" s="16">
        <f t="shared" si="363"/>
        <v>42285.696006944447</v>
      </c>
      <c r="U3875">
        <f t="shared" si="364"/>
        <v>30</v>
      </c>
      <c r="V3875">
        <f t="shared" si="365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 s="8">
        <f t="shared" si="361"/>
        <v>0</v>
      </c>
      <c r="Q3876" s="10" t="s">
        <v>8315</v>
      </c>
      <c r="R3876" s="10" t="s">
        <v>8357</v>
      </c>
      <c r="S3876" s="16">
        <f t="shared" si="362"/>
        <v>42007.016458333332</v>
      </c>
      <c r="T3876" s="16">
        <f t="shared" si="363"/>
        <v>42028.041666666672</v>
      </c>
      <c r="U3876">
        <f t="shared" si="364"/>
        <v>21</v>
      </c>
      <c r="V3876">
        <f t="shared" si="365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 s="8">
        <f t="shared" si="361"/>
        <v>0</v>
      </c>
      <c r="Q3877" s="10" t="s">
        <v>8315</v>
      </c>
      <c r="R3877" s="10" t="s">
        <v>8357</v>
      </c>
      <c r="S3877" s="16">
        <f t="shared" si="362"/>
        <v>42615.346817129626</v>
      </c>
      <c r="T3877" s="16">
        <f t="shared" si="363"/>
        <v>42616.416666666672</v>
      </c>
      <c r="U3877">
        <f t="shared" si="364"/>
        <v>1</v>
      </c>
      <c r="V3877">
        <f t="shared" si="365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 s="8">
        <f t="shared" si="361"/>
        <v>44.76</v>
      </c>
      <c r="Q3878" s="10" t="s">
        <v>8315</v>
      </c>
      <c r="R3878" s="10" t="s">
        <v>8357</v>
      </c>
      <c r="S3878" s="16">
        <f t="shared" si="362"/>
        <v>42372.624166666668</v>
      </c>
      <c r="T3878" s="16">
        <f t="shared" si="363"/>
        <v>42402.624166666668</v>
      </c>
      <c r="U3878">
        <f t="shared" si="364"/>
        <v>30</v>
      </c>
      <c r="V3878">
        <f t="shared" si="365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 s="8">
        <f t="shared" si="361"/>
        <v>88.64</v>
      </c>
      <c r="Q3879" s="10" t="s">
        <v>8315</v>
      </c>
      <c r="R3879" s="10" t="s">
        <v>8357</v>
      </c>
      <c r="S3879" s="16">
        <f t="shared" si="362"/>
        <v>42682.67768518519</v>
      </c>
      <c r="T3879" s="16">
        <f t="shared" si="363"/>
        <v>42712.67768518519</v>
      </c>
      <c r="U3879">
        <f t="shared" si="364"/>
        <v>30</v>
      </c>
      <c r="V3879">
        <f t="shared" si="365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 s="8">
        <f t="shared" si="361"/>
        <v>10</v>
      </c>
      <c r="Q3880" s="10" t="s">
        <v>8315</v>
      </c>
      <c r="R3880" s="10" t="s">
        <v>8357</v>
      </c>
      <c r="S3880" s="16">
        <f t="shared" si="362"/>
        <v>42154.818819444445</v>
      </c>
      <c r="T3880" s="16">
        <f t="shared" si="363"/>
        <v>42185.165972222225</v>
      </c>
      <c r="U3880">
        <f t="shared" si="364"/>
        <v>30</v>
      </c>
      <c r="V3880">
        <f t="shared" si="365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 s="8">
        <f t="shared" si="361"/>
        <v>0</v>
      </c>
      <c r="Q3881" s="10" t="s">
        <v>8315</v>
      </c>
      <c r="R3881" s="10" t="s">
        <v>8357</v>
      </c>
      <c r="S3881" s="16">
        <f t="shared" si="362"/>
        <v>41999.861064814817</v>
      </c>
      <c r="T3881" s="16">
        <f t="shared" si="363"/>
        <v>42029.861064814817</v>
      </c>
      <c r="U3881">
        <f t="shared" si="364"/>
        <v>30</v>
      </c>
      <c r="V3881">
        <f t="shared" si="365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 s="8">
        <f t="shared" si="361"/>
        <v>57.65</v>
      </c>
      <c r="Q3882" s="10" t="s">
        <v>8315</v>
      </c>
      <c r="R3882" s="10" t="s">
        <v>8357</v>
      </c>
      <c r="S3882" s="16">
        <f t="shared" si="362"/>
        <v>41815.815046296295</v>
      </c>
      <c r="T3882" s="16">
        <f t="shared" si="363"/>
        <v>41850.958333333336</v>
      </c>
      <c r="U3882">
        <f t="shared" si="364"/>
        <v>35</v>
      </c>
      <c r="V3882">
        <f t="shared" si="365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 s="8">
        <f t="shared" si="361"/>
        <v>25</v>
      </c>
      <c r="Q3883" s="10" t="s">
        <v>8315</v>
      </c>
      <c r="R3883" s="10" t="s">
        <v>8357</v>
      </c>
      <c r="S3883" s="16">
        <f t="shared" si="362"/>
        <v>42756.018506944441</v>
      </c>
      <c r="T3883" s="16">
        <f t="shared" si="363"/>
        <v>42786.018506944441</v>
      </c>
      <c r="U3883">
        <f t="shared" si="364"/>
        <v>30</v>
      </c>
      <c r="V3883">
        <f t="shared" si="365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 s="8">
        <f t="shared" si="361"/>
        <v>0</v>
      </c>
      <c r="Q3884" s="10" t="s">
        <v>8315</v>
      </c>
      <c r="R3884" s="10" t="s">
        <v>8357</v>
      </c>
      <c r="S3884" s="16">
        <f t="shared" si="362"/>
        <v>42373.983449074076</v>
      </c>
      <c r="T3884" s="16">
        <f t="shared" si="363"/>
        <v>42400.960416666669</v>
      </c>
      <c r="U3884">
        <f t="shared" si="364"/>
        <v>27</v>
      </c>
      <c r="V3884">
        <f t="shared" si="365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 s="8">
        <f t="shared" si="361"/>
        <v>0</v>
      </c>
      <c r="Q3885" s="10" t="s">
        <v>8315</v>
      </c>
      <c r="R3885" s="10" t="s">
        <v>8357</v>
      </c>
      <c r="S3885" s="16">
        <f t="shared" si="362"/>
        <v>41854.602650462963</v>
      </c>
      <c r="T3885" s="16">
        <f t="shared" si="363"/>
        <v>41884.602650462963</v>
      </c>
      <c r="U3885">
        <f t="shared" si="364"/>
        <v>30</v>
      </c>
      <c r="V3885">
        <f t="shared" si="365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 s="8">
        <f t="shared" si="361"/>
        <v>0</v>
      </c>
      <c r="Q3886" s="10" t="s">
        <v>8315</v>
      </c>
      <c r="R3886" s="10" t="s">
        <v>8357</v>
      </c>
      <c r="S3886" s="16">
        <f t="shared" si="362"/>
        <v>42065.791574074072</v>
      </c>
      <c r="T3886" s="16">
        <f t="shared" si="363"/>
        <v>42090.749907407408</v>
      </c>
      <c r="U3886">
        <f t="shared" si="364"/>
        <v>25</v>
      </c>
      <c r="V3886">
        <f t="shared" si="365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 s="8">
        <f t="shared" si="361"/>
        <v>0</v>
      </c>
      <c r="Q3887" s="10" t="s">
        <v>8315</v>
      </c>
      <c r="R3887" s="10" t="s">
        <v>8357</v>
      </c>
      <c r="S3887" s="16">
        <f t="shared" si="362"/>
        <v>42469.951284722221</v>
      </c>
      <c r="T3887" s="16">
        <f t="shared" si="363"/>
        <v>42499.951284722221</v>
      </c>
      <c r="U3887">
        <f t="shared" si="364"/>
        <v>30</v>
      </c>
      <c r="V3887">
        <f t="shared" si="365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 s="8">
        <f t="shared" si="361"/>
        <v>0</v>
      </c>
      <c r="Q3888" s="10" t="s">
        <v>8315</v>
      </c>
      <c r="R3888" s="10" t="s">
        <v>8357</v>
      </c>
      <c r="S3888" s="16">
        <f t="shared" si="362"/>
        <v>41954.228032407409</v>
      </c>
      <c r="T3888" s="16">
        <f t="shared" si="363"/>
        <v>41984.228032407409</v>
      </c>
      <c r="U3888">
        <f t="shared" si="364"/>
        <v>30</v>
      </c>
      <c r="V3888">
        <f t="shared" si="365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 s="8">
        <f t="shared" si="361"/>
        <v>17.5</v>
      </c>
      <c r="Q3889" s="10" t="s">
        <v>8315</v>
      </c>
      <c r="R3889" s="10" t="s">
        <v>8357</v>
      </c>
      <c r="S3889" s="16">
        <f t="shared" si="362"/>
        <v>42079.857974537037</v>
      </c>
      <c r="T3889" s="16">
        <f t="shared" si="363"/>
        <v>42125.916666666672</v>
      </c>
      <c r="U3889">
        <f t="shared" si="364"/>
        <v>46</v>
      </c>
      <c r="V3889">
        <f t="shared" si="365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 s="8">
        <f t="shared" si="361"/>
        <v>38.71</v>
      </c>
      <c r="Q3890" s="10" t="s">
        <v>8315</v>
      </c>
      <c r="R3890" s="10" t="s">
        <v>8316</v>
      </c>
      <c r="S3890" s="16">
        <f t="shared" si="362"/>
        <v>42762.545810185184</v>
      </c>
      <c r="T3890" s="16">
        <f t="shared" si="363"/>
        <v>42792.545810185184</v>
      </c>
      <c r="U3890">
        <f t="shared" si="364"/>
        <v>30</v>
      </c>
      <c r="V3890">
        <f t="shared" si="365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 s="8">
        <f t="shared" si="361"/>
        <v>13.11</v>
      </c>
      <c r="Q3891" s="10" t="s">
        <v>8315</v>
      </c>
      <c r="R3891" s="10" t="s">
        <v>8316</v>
      </c>
      <c r="S3891" s="16">
        <f t="shared" si="362"/>
        <v>41977.004976851851</v>
      </c>
      <c r="T3891" s="16">
        <f t="shared" si="363"/>
        <v>42008.976388888885</v>
      </c>
      <c r="U3891">
        <f t="shared" si="364"/>
        <v>32</v>
      </c>
      <c r="V3891">
        <f t="shared" si="365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 s="8">
        <f t="shared" si="361"/>
        <v>315.5</v>
      </c>
      <c r="Q3892" s="10" t="s">
        <v>8315</v>
      </c>
      <c r="R3892" s="10" t="s">
        <v>8316</v>
      </c>
      <c r="S3892" s="16">
        <f t="shared" si="362"/>
        <v>42171.758611111116</v>
      </c>
      <c r="T3892" s="16">
        <f t="shared" si="363"/>
        <v>42231.758611111116</v>
      </c>
      <c r="U3892">
        <f t="shared" si="364"/>
        <v>60</v>
      </c>
      <c r="V3892">
        <f t="shared" si="365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 s="8">
        <f t="shared" si="361"/>
        <v>37.14</v>
      </c>
      <c r="Q3893" s="10" t="s">
        <v>8315</v>
      </c>
      <c r="R3893" s="10" t="s">
        <v>8316</v>
      </c>
      <c r="S3893" s="16">
        <f t="shared" si="362"/>
        <v>42056.1324537037</v>
      </c>
      <c r="T3893" s="16">
        <f t="shared" si="363"/>
        <v>42086.207638888889</v>
      </c>
      <c r="U3893">
        <f t="shared" si="364"/>
        <v>30</v>
      </c>
      <c r="V3893">
        <f t="shared" si="365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 s="8">
        <f t="shared" si="361"/>
        <v>0</v>
      </c>
      <c r="Q3894" s="10" t="s">
        <v>8315</v>
      </c>
      <c r="R3894" s="10" t="s">
        <v>8316</v>
      </c>
      <c r="S3894" s="16">
        <f t="shared" si="362"/>
        <v>41867.652280092596</v>
      </c>
      <c r="T3894" s="16">
        <f t="shared" si="363"/>
        <v>41875.291666666664</v>
      </c>
      <c r="U3894">
        <f t="shared" si="364"/>
        <v>8</v>
      </c>
      <c r="V3894">
        <f t="shared" si="365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 s="8">
        <f t="shared" si="361"/>
        <v>128.27000000000001</v>
      </c>
      <c r="Q3895" s="10" t="s">
        <v>8315</v>
      </c>
      <c r="R3895" s="10" t="s">
        <v>8316</v>
      </c>
      <c r="S3895" s="16">
        <f t="shared" si="362"/>
        <v>41779.657870370371</v>
      </c>
      <c r="T3895" s="16">
        <f t="shared" si="363"/>
        <v>41821.25</v>
      </c>
      <c r="U3895">
        <f t="shared" si="364"/>
        <v>42</v>
      </c>
      <c r="V3895">
        <f t="shared" si="365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 s="8">
        <f t="shared" si="361"/>
        <v>47.27</v>
      </c>
      <c r="Q3896" s="10" t="s">
        <v>8315</v>
      </c>
      <c r="R3896" s="10" t="s">
        <v>8316</v>
      </c>
      <c r="S3896" s="16">
        <f t="shared" si="362"/>
        <v>42679.958472222221</v>
      </c>
      <c r="T3896" s="16">
        <f t="shared" si="363"/>
        <v>42710.207638888889</v>
      </c>
      <c r="U3896">
        <f t="shared" si="364"/>
        <v>30</v>
      </c>
      <c r="V3896">
        <f t="shared" si="365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 s="8">
        <f t="shared" si="361"/>
        <v>50</v>
      </c>
      <c r="Q3897" s="10" t="s">
        <v>8315</v>
      </c>
      <c r="R3897" s="10" t="s">
        <v>8316</v>
      </c>
      <c r="S3897" s="16">
        <f t="shared" si="362"/>
        <v>42032.250208333338</v>
      </c>
      <c r="T3897" s="16">
        <f t="shared" si="363"/>
        <v>42063.250208333338</v>
      </c>
      <c r="U3897">
        <f t="shared" si="364"/>
        <v>31</v>
      </c>
      <c r="V3897">
        <f t="shared" si="365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 s="8">
        <f t="shared" si="361"/>
        <v>42.5</v>
      </c>
      <c r="Q3898" s="10" t="s">
        <v>8315</v>
      </c>
      <c r="R3898" s="10" t="s">
        <v>8316</v>
      </c>
      <c r="S3898" s="16">
        <f t="shared" si="362"/>
        <v>41793.191875000004</v>
      </c>
      <c r="T3898" s="16">
        <f t="shared" si="363"/>
        <v>41807.191875000004</v>
      </c>
      <c r="U3898">
        <f t="shared" si="364"/>
        <v>14</v>
      </c>
      <c r="V3898">
        <f t="shared" si="365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 s="8">
        <f t="shared" si="361"/>
        <v>44</v>
      </c>
      <c r="Q3899" s="10" t="s">
        <v>8315</v>
      </c>
      <c r="R3899" s="10" t="s">
        <v>8316</v>
      </c>
      <c r="S3899" s="16">
        <f t="shared" si="362"/>
        <v>41982.87364583333</v>
      </c>
      <c r="T3899" s="16">
        <f t="shared" si="363"/>
        <v>42012.87364583333</v>
      </c>
      <c r="U3899">
        <f t="shared" si="364"/>
        <v>30</v>
      </c>
      <c r="V3899">
        <f t="shared" si="365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 s="8">
        <f t="shared" si="361"/>
        <v>50.88</v>
      </c>
      <c r="Q3900" s="10" t="s">
        <v>8315</v>
      </c>
      <c r="R3900" s="10" t="s">
        <v>8316</v>
      </c>
      <c r="S3900" s="16">
        <f t="shared" si="362"/>
        <v>42193.482291666667</v>
      </c>
      <c r="T3900" s="16">
        <f t="shared" si="363"/>
        <v>42233.666666666672</v>
      </c>
      <c r="U3900">
        <f t="shared" si="364"/>
        <v>40</v>
      </c>
      <c r="V3900">
        <f t="shared" si="365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 s="8">
        <f t="shared" si="361"/>
        <v>62.5</v>
      </c>
      <c r="Q3901" s="10" t="s">
        <v>8315</v>
      </c>
      <c r="R3901" s="10" t="s">
        <v>8316</v>
      </c>
      <c r="S3901" s="16">
        <f t="shared" si="362"/>
        <v>41843.775011574071</v>
      </c>
      <c r="T3901" s="16">
        <f t="shared" si="363"/>
        <v>41863.775011574071</v>
      </c>
      <c r="U3901">
        <f t="shared" si="364"/>
        <v>20</v>
      </c>
      <c r="V3901">
        <f t="shared" si="365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 s="8">
        <f t="shared" si="361"/>
        <v>27</v>
      </c>
      <c r="Q3902" s="10" t="s">
        <v>8315</v>
      </c>
      <c r="R3902" s="10" t="s">
        <v>8316</v>
      </c>
      <c r="S3902" s="16">
        <f t="shared" si="362"/>
        <v>42136.092488425929</v>
      </c>
      <c r="T3902" s="16">
        <f t="shared" si="363"/>
        <v>42166.092488425929</v>
      </c>
      <c r="U3902">
        <f t="shared" si="364"/>
        <v>30</v>
      </c>
      <c r="V3902">
        <f t="shared" si="365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 s="8">
        <f t="shared" si="361"/>
        <v>25</v>
      </c>
      <c r="Q3903" s="10" t="s">
        <v>8315</v>
      </c>
      <c r="R3903" s="10" t="s">
        <v>8316</v>
      </c>
      <c r="S3903" s="16">
        <f t="shared" si="362"/>
        <v>42317.826377314821</v>
      </c>
      <c r="T3903" s="16">
        <f t="shared" si="363"/>
        <v>42357.826377314821</v>
      </c>
      <c r="U3903">
        <f t="shared" si="364"/>
        <v>40</v>
      </c>
      <c r="V3903">
        <f t="shared" si="365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 s="8">
        <f t="shared" si="361"/>
        <v>47.26</v>
      </c>
      <c r="Q3904" s="10" t="s">
        <v>8315</v>
      </c>
      <c r="R3904" s="10" t="s">
        <v>8316</v>
      </c>
      <c r="S3904" s="16">
        <f t="shared" si="362"/>
        <v>42663.468078703707</v>
      </c>
      <c r="T3904" s="16">
        <f t="shared" si="363"/>
        <v>42688.509745370371</v>
      </c>
      <c r="U3904">
        <f t="shared" si="364"/>
        <v>25</v>
      </c>
      <c r="V3904">
        <f t="shared" si="365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 s="8">
        <f t="shared" si="361"/>
        <v>0</v>
      </c>
      <c r="Q3905" s="10" t="s">
        <v>8315</v>
      </c>
      <c r="R3905" s="10" t="s">
        <v>8316</v>
      </c>
      <c r="S3905" s="16">
        <f t="shared" si="362"/>
        <v>42186.01116898148</v>
      </c>
      <c r="T3905" s="16">
        <f t="shared" si="363"/>
        <v>42230.818055555559</v>
      </c>
      <c r="U3905">
        <f t="shared" si="364"/>
        <v>45</v>
      </c>
      <c r="V3905">
        <f t="shared" si="365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ROUND((E3906/D3906)*100, 0)</f>
        <v>0</v>
      </c>
      <c r="P3906" s="8">
        <f t="shared" ref="P3906:P3969" si="367">IFERROR(ROUND(E3906/L3906, 2), 0)</f>
        <v>1.5</v>
      </c>
      <c r="Q3906" s="10" t="s">
        <v>8315</v>
      </c>
      <c r="R3906" s="10" t="s">
        <v>8316</v>
      </c>
      <c r="S3906" s="16">
        <f t="shared" ref="S3906:S3969" si="368">(J3906/60/60/24)+DATE(1970, 1, 1)</f>
        <v>42095.229166666672</v>
      </c>
      <c r="T3906" s="16">
        <f t="shared" ref="T3906:T3969" si="369">(I3906/60/60/24)+DATE(1970, 1, 1)</f>
        <v>42109.211111111115</v>
      </c>
      <c r="U3906">
        <f t="shared" si="364"/>
        <v>14</v>
      </c>
      <c r="V3906">
        <f t="shared" si="365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 s="8">
        <f t="shared" si="367"/>
        <v>24.71</v>
      </c>
      <c r="Q3907" s="10" t="s">
        <v>8315</v>
      </c>
      <c r="R3907" s="10" t="s">
        <v>8316</v>
      </c>
      <c r="S3907" s="16">
        <f t="shared" si="368"/>
        <v>42124.623877314814</v>
      </c>
      <c r="T3907" s="16">
        <f t="shared" si="369"/>
        <v>42166.958333333328</v>
      </c>
      <c r="U3907">
        <f t="shared" ref="U3907:U3970" si="370">ROUND(T3907-S3907, 0)</f>
        <v>42</v>
      </c>
      <c r="V3907">
        <f t="shared" ref="V3907:V3970" si="371">YEAR($S3907)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 s="8">
        <f t="shared" si="367"/>
        <v>63.13</v>
      </c>
      <c r="Q3908" s="10" t="s">
        <v>8315</v>
      </c>
      <c r="R3908" s="10" t="s">
        <v>8316</v>
      </c>
      <c r="S3908" s="16">
        <f t="shared" si="368"/>
        <v>42143.917743055557</v>
      </c>
      <c r="T3908" s="16">
        <f t="shared" si="369"/>
        <v>42181.559027777781</v>
      </c>
      <c r="U3908">
        <f t="shared" si="370"/>
        <v>38</v>
      </c>
      <c r="V3908">
        <f t="shared" si="371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 s="8">
        <f t="shared" si="367"/>
        <v>38.25</v>
      </c>
      <c r="Q3909" s="10" t="s">
        <v>8315</v>
      </c>
      <c r="R3909" s="10" t="s">
        <v>8316</v>
      </c>
      <c r="S3909" s="16">
        <f t="shared" si="368"/>
        <v>41906.819513888891</v>
      </c>
      <c r="T3909" s="16">
        <f t="shared" si="369"/>
        <v>41938.838888888888</v>
      </c>
      <c r="U3909">
        <f t="shared" si="370"/>
        <v>32</v>
      </c>
      <c r="V3909">
        <f t="shared" si="371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 s="8">
        <f t="shared" si="367"/>
        <v>16.25</v>
      </c>
      <c r="Q3910" s="10" t="s">
        <v>8315</v>
      </c>
      <c r="R3910" s="10" t="s">
        <v>8316</v>
      </c>
      <c r="S3910" s="16">
        <f t="shared" si="368"/>
        <v>41834.135370370372</v>
      </c>
      <c r="T3910" s="16">
        <f t="shared" si="369"/>
        <v>41849.135370370372</v>
      </c>
      <c r="U3910">
        <f t="shared" si="370"/>
        <v>15</v>
      </c>
      <c r="V3910">
        <f t="shared" si="371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 s="8">
        <f t="shared" si="367"/>
        <v>33.75</v>
      </c>
      <c r="Q3911" s="10" t="s">
        <v>8315</v>
      </c>
      <c r="R3911" s="10" t="s">
        <v>8316</v>
      </c>
      <c r="S3911" s="16">
        <f t="shared" si="368"/>
        <v>41863.359282407408</v>
      </c>
      <c r="T3911" s="16">
        <f t="shared" si="369"/>
        <v>41893.359282407408</v>
      </c>
      <c r="U3911">
        <f t="shared" si="370"/>
        <v>30</v>
      </c>
      <c r="V3911">
        <f t="shared" si="371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 s="8">
        <f t="shared" si="367"/>
        <v>61.67</v>
      </c>
      <c r="Q3912" s="10" t="s">
        <v>8315</v>
      </c>
      <c r="R3912" s="10" t="s">
        <v>8316</v>
      </c>
      <c r="S3912" s="16">
        <f t="shared" si="368"/>
        <v>42224.756909722222</v>
      </c>
      <c r="T3912" s="16">
        <f t="shared" si="369"/>
        <v>42254.756909722222</v>
      </c>
      <c r="U3912">
        <f t="shared" si="370"/>
        <v>30</v>
      </c>
      <c r="V3912">
        <f t="shared" si="371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 s="8">
        <f t="shared" si="367"/>
        <v>83.14</v>
      </c>
      <c r="Q3913" s="10" t="s">
        <v>8315</v>
      </c>
      <c r="R3913" s="10" t="s">
        <v>8316</v>
      </c>
      <c r="S3913" s="16">
        <f t="shared" si="368"/>
        <v>41939.8122337963</v>
      </c>
      <c r="T3913" s="16">
        <f t="shared" si="369"/>
        <v>41969.853900462964</v>
      </c>
      <c r="U3913">
        <f t="shared" si="370"/>
        <v>30</v>
      </c>
      <c r="V3913">
        <f t="shared" si="371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 s="8">
        <f t="shared" si="367"/>
        <v>1</v>
      </c>
      <c r="Q3914" s="10" t="s">
        <v>8315</v>
      </c>
      <c r="R3914" s="10" t="s">
        <v>8316</v>
      </c>
      <c r="S3914" s="16">
        <f t="shared" si="368"/>
        <v>42059.270023148143</v>
      </c>
      <c r="T3914" s="16">
        <f t="shared" si="369"/>
        <v>42119.190972222219</v>
      </c>
      <c r="U3914">
        <f t="shared" si="370"/>
        <v>60</v>
      </c>
      <c r="V3914">
        <f t="shared" si="371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 s="8">
        <f t="shared" si="367"/>
        <v>142.86000000000001</v>
      </c>
      <c r="Q3915" s="10" t="s">
        <v>8315</v>
      </c>
      <c r="R3915" s="10" t="s">
        <v>8316</v>
      </c>
      <c r="S3915" s="16">
        <f t="shared" si="368"/>
        <v>42308.211215277777</v>
      </c>
      <c r="T3915" s="16">
        <f t="shared" si="369"/>
        <v>42338.252881944441</v>
      </c>
      <c r="U3915">
        <f t="shared" si="370"/>
        <v>30</v>
      </c>
      <c r="V3915">
        <f t="shared" si="371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 s="8">
        <f t="shared" si="367"/>
        <v>33.67</v>
      </c>
      <c r="Q3916" s="10" t="s">
        <v>8315</v>
      </c>
      <c r="R3916" s="10" t="s">
        <v>8316</v>
      </c>
      <c r="S3916" s="16">
        <f t="shared" si="368"/>
        <v>42114.818935185183</v>
      </c>
      <c r="T3916" s="16">
        <f t="shared" si="369"/>
        <v>42134.957638888889</v>
      </c>
      <c r="U3916">
        <f t="shared" si="370"/>
        <v>20</v>
      </c>
      <c r="V3916">
        <f t="shared" si="371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 s="8">
        <f t="shared" si="367"/>
        <v>5</v>
      </c>
      <c r="Q3917" s="10" t="s">
        <v>8315</v>
      </c>
      <c r="R3917" s="10" t="s">
        <v>8316</v>
      </c>
      <c r="S3917" s="16">
        <f t="shared" si="368"/>
        <v>42492.98505787037</v>
      </c>
      <c r="T3917" s="16">
        <f t="shared" si="369"/>
        <v>42522.98505787037</v>
      </c>
      <c r="U3917">
        <f t="shared" si="370"/>
        <v>30</v>
      </c>
      <c r="V3917">
        <f t="shared" si="371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 s="8">
        <f t="shared" si="367"/>
        <v>0</v>
      </c>
      <c r="Q3918" s="10" t="s">
        <v>8315</v>
      </c>
      <c r="R3918" s="10" t="s">
        <v>8316</v>
      </c>
      <c r="S3918" s="16">
        <f t="shared" si="368"/>
        <v>42494.471666666665</v>
      </c>
      <c r="T3918" s="16">
        <f t="shared" si="369"/>
        <v>42524.471666666665</v>
      </c>
      <c r="U3918">
        <f t="shared" si="370"/>
        <v>30</v>
      </c>
      <c r="V3918">
        <f t="shared" si="371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 s="8">
        <f t="shared" si="367"/>
        <v>10</v>
      </c>
      <c r="Q3919" s="10" t="s">
        <v>8315</v>
      </c>
      <c r="R3919" s="10" t="s">
        <v>8316</v>
      </c>
      <c r="S3919" s="16">
        <f t="shared" si="368"/>
        <v>41863.527326388888</v>
      </c>
      <c r="T3919" s="16">
        <f t="shared" si="369"/>
        <v>41893.527326388888</v>
      </c>
      <c r="U3919">
        <f t="shared" si="370"/>
        <v>30</v>
      </c>
      <c r="V3919">
        <f t="shared" si="371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 s="8">
        <f t="shared" si="367"/>
        <v>40</v>
      </c>
      <c r="Q3920" s="10" t="s">
        <v>8315</v>
      </c>
      <c r="R3920" s="10" t="s">
        <v>8316</v>
      </c>
      <c r="S3920" s="16">
        <f t="shared" si="368"/>
        <v>41843.664618055554</v>
      </c>
      <c r="T3920" s="16">
        <f t="shared" si="369"/>
        <v>41855.666666666664</v>
      </c>
      <c r="U3920">
        <f t="shared" si="370"/>
        <v>12</v>
      </c>
      <c r="V3920">
        <f t="shared" si="371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 s="8">
        <f t="shared" si="367"/>
        <v>30</v>
      </c>
      <c r="Q3921" s="10" t="s">
        <v>8315</v>
      </c>
      <c r="R3921" s="10" t="s">
        <v>8316</v>
      </c>
      <c r="S3921" s="16">
        <f t="shared" si="368"/>
        <v>42358.684872685189</v>
      </c>
      <c r="T3921" s="16">
        <f t="shared" si="369"/>
        <v>42387</v>
      </c>
      <c r="U3921">
        <f t="shared" si="370"/>
        <v>28</v>
      </c>
      <c r="V3921">
        <f t="shared" si="371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 s="8">
        <f t="shared" si="367"/>
        <v>45</v>
      </c>
      <c r="Q3922" s="10" t="s">
        <v>8315</v>
      </c>
      <c r="R3922" s="10" t="s">
        <v>8316</v>
      </c>
      <c r="S3922" s="16">
        <f t="shared" si="368"/>
        <v>42657.38726851852</v>
      </c>
      <c r="T3922" s="16">
        <f t="shared" si="369"/>
        <v>42687.428935185191</v>
      </c>
      <c r="U3922">
        <f t="shared" si="370"/>
        <v>30</v>
      </c>
      <c r="V3922">
        <f t="shared" si="371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 s="8">
        <f t="shared" si="367"/>
        <v>0</v>
      </c>
      <c r="Q3923" s="10" t="s">
        <v>8315</v>
      </c>
      <c r="R3923" s="10" t="s">
        <v>8316</v>
      </c>
      <c r="S3923" s="16">
        <f t="shared" si="368"/>
        <v>41926.542303240742</v>
      </c>
      <c r="T3923" s="16">
        <f t="shared" si="369"/>
        <v>41938.75</v>
      </c>
      <c r="U3923">
        <f t="shared" si="370"/>
        <v>12</v>
      </c>
      <c r="V3923">
        <f t="shared" si="371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 s="8">
        <f t="shared" si="367"/>
        <v>10.17</v>
      </c>
      <c r="Q3924" s="10" t="s">
        <v>8315</v>
      </c>
      <c r="R3924" s="10" t="s">
        <v>8316</v>
      </c>
      <c r="S3924" s="16">
        <f t="shared" si="368"/>
        <v>42020.768634259264</v>
      </c>
      <c r="T3924" s="16">
        <f t="shared" si="369"/>
        <v>42065.958333333328</v>
      </c>
      <c r="U3924">
        <f t="shared" si="370"/>
        <v>45</v>
      </c>
      <c r="V3924">
        <f t="shared" si="371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 s="8">
        <f t="shared" si="367"/>
        <v>81.41</v>
      </c>
      <c r="Q3925" s="10" t="s">
        <v>8315</v>
      </c>
      <c r="R3925" s="10" t="s">
        <v>8316</v>
      </c>
      <c r="S3925" s="16">
        <f t="shared" si="368"/>
        <v>42075.979988425926</v>
      </c>
      <c r="T3925" s="16">
        <f t="shared" si="369"/>
        <v>42103.979988425926</v>
      </c>
      <c r="U3925">
        <f t="shared" si="370"/>
        <v>28</v>
      </c>
      <c r="V3925">
        <f t="shared" si="371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 s="8">
        <f t="shared" si="367"/>
        <v>57.25</v>
      </c>
      <c r="Q3926" s="10" t="s">
        <v>8315</v>
      </c>
      <c r="R3926" s="10" t="s">
        <v>8316</v>
      </c>
      <c r="S3926" s="16">
        <f t="shared" si="368"/>
        <v>41786.959745370368</v>
      </c>
      <c r="T3926" s="16">
        <f t="shared" si="369"/>
        <v>41816.959745370368</v>
      </c>
      <c r="U3926">
        <f t="shared" si="370"/>
        <v>30</v>
      </c>
      <c r="V3926">
        <f t="shared" si="371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 s="8">
        <f t="shared" si="367"/>
        <v>5</v>
      </c>
      <c r="Q3927" s="10" t="s">
        <v>8315</v>
      </c>
      <c r="R3927" s="10" t="s">
        <v>8316</v>
      </c>
      <c r="S3927" s="16">
        <f t="shared" si="368"/>
        <v>41820.870821759258</v>
      </c>
      <c r="T3927" s="16">
        <f t="shared" si="369"/>
        <v>41850.870821759258</v>
      </c>
      <c r="U3927">
        <f t="shared" si="370"/>
        <v>30</v>
      </c>
      <c r="V3927">
        <f t="shared" si="371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 s="8">
        <f t="shared" si="367"/>
        <v>15</v>
      </c>
      <c r="Q3928" s="10" t="s">
        <v>8315</v>
      </c>
      <c r="R3928" s="10" t="s">
        <v>8316</v>
      </c>
      <c r="S3928" s="16">
        <f t="shared" si="368"/>
        <v>41970.085046296299</v>
      </c>
      <c r="T3928" s="16">
        <f t="shared" si="369"/>
        <v>42000.085046296299</v>
      </c>
      <c r="U3928">
        <f t="shared" si="370"/>
        <v>30</v>
      </c>
      <c r="V3928">
        <f t="shared" si="371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 s="8">
        <f t="shared" si="367"/>
        <v>12.5</v>
      </c>
      <c r="Q3929" s="10" t="s">
        <v>8315</v>
      </c>
      <c r="R3929" s="10" t="s">
        <v>8316</v>
      </c>
      <c r="S3929" s="16">
        <f t="shared" si="368"/>
        <v>41830.267407407409</v>
      </c>
      <c r="T3929" s="16">
        <f t="shared" si="369"/>
        <v>41860.267407407409</v>
      </c>
      <c r="U3929">
        <f t="shared" si="370"/>
        <v>30</v>
      </c>
      <c r="V3929">
        <f t="shared" si="371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 s="8">
        <f t="shared" si="367"/>
        <v>93</v>
      </c>
      <c r="Q3930" s="10" t="s">
        <v>8315</v>
      </c>
      <c r="R3930" s="10" t="s">
        <v>8316</v>
      </c>
      <c r="S3930" s="16">
        <f t="shared" si="368"/>
        <v>42265.683182870373</v>
      </c>
      <c r="T3930" s="16">
        <f t="shared" si="369"/>
        <v>42293.207638888889</v>
      </c>
      <c r="U3930">
        <f t="shared" si="370"/>
        <v>28</v>
      </c>
      <c r="V3930">
        <f t="shared" si="371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 s="8">
        <f t="shared" si="367"/>
        <v>32.36</v>
      </c>
      <c r="Q3931" s="10" t="s">
        <v>8315</v>
      </c>
      <c r="R3931" s="10" t="s">
        <v>8316</v>
      </c>
      <c r="S3931" s="16">
        <f t="shared" si="368"/>
        <v>42601.827141203699</v>
      </c>
      <c r="T3931" s="16">
        <f t="shared" si="369"/>
        <v>42631.827141203699</v>
      </c>
      <c r="U3931">
        <f t="shared" si="370"/>
        <v>30</v>
      </c>
      <c r="V3931">
        <f t="shared" si="371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 s="8">
        <f t="shared" si="367"/>
        <v>0</v>
      </c>
      <c r="Q3932" s="10" t="s">
        <v>8315</v>
      </c>
      <c r="R3932" s="10" t="s">
        <v>8316</v>
      </c>
      <c r="S3932" s="16">
        <f t="shared" si="368"/>
        <v>42433.338749999995</v>
      </c>
      <c r="T3932" s="16">
        <f t="shared" si="369"/>
        <v>42461.25</v>
      </c>
      <c r="U3932">
        <f t="shared" si="370"/>
        <v>28</v>
      </c>
      <c r="V3932">
        <f t="shared" si="371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 s="8">
        <f t="shared" si="367"/>
        <v>0</v>
      </c>
      <c r="Q3933" s="10" t="s">
        <v>8315</v>
      </c>
      <c r="R3933" s="10" t="s">
        <v>8316</v>
      </c>
      <c r="S3933" s="16">
        <f t="shared" si="368"/>
        <v>42228.151701388888</v>
      </c>
      <c r="T3933" s="16">
        <f t="shared" si="369"/>
        <v>42253.151701388888</v>
      </c>
      <c r="U3933">
        <f t="shared" si="370"/>
        <v>25</v>
      </c>
      <c r="V3933">
        <f t="shared" si="371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 s="8">
        <f t="shared" si="367"/>
        <v>1</v>
      </c>
      <c r="Q3934" s="10" t="s">
        <v>8315</v>
      </c>
      <c r="R3934" s="10" t="s">
        <v>8316</v>
      </c>
      <c r="S3934" s="16">
        <f t="shared" si="368"/>
        <v>42415.168564814812</v>
      </c>
      <c r="T3934" s="16">
        <f t="shared" si="369"/>
        <v>42445.126898148148</v>
      </c>
      <c r="U3934">
        <f t="shared" si="370"/>
        <v>30</v>
      </c>
      <c r="V3934">
        <f t="shared" si="371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 s="8">
        <f t="shared" si="367"/>
        <v>91.83</v>
      </c>
      <c r="Q3935" s="10" t="s">
        <v>8315</v>
      </c>
      <c r="R3935" s="10" t="s">
        <v>8316</v>
      </c>
      <c r="S3935" s="16">
        <f t="shared" si="368"/>
        <v>42538.968310185184</v>
      </c>
      <c r="T3935" s="16">
        <f t="shared" si="369"/>
        <v>42568.029861111107</v>
      </c>
      <c r="U3935">
        <f t="shared" si="370"/>
        <v>29</v>
      </c>
      <c r="V3935">
        <f t="shared" si="371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 s="8">
        <f t="shared" si="367"/>
        <v>45.83</v>
      </c>
      <c r="Q3936" s="10" t="s">
        <v>8315</v>
      </c>
      <c r="R3936" s="10" t="s">
        <v>8316</v>
      </c>
      <c r="S3936" s="16">
        <f t="shared" si="368"/>
        <v>42233.671747685185</v>
      </c>
      <c r="T3936" s="16">
        <f t="shared" si="369"/>
        <v>42278.541666666672</v>
      </c>
      <c r="U3936">
        <f t="shared" si="370"/>
        <v>45</v>
      </c>
      <c r="V3936">
        <f t="shared" si="371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 s="8">
        <f t="shared" si="367"/>
        <v>57.17</v>
      </c>
      <c r="Q3937" s="10" t="s">
        <v>8315</v>
      </c>
      <c r="R3937" s="10" t="s">
        <v>8316</v>
      </c>
      <c r="S3937" s="16">
        <f t="shared" si="368"/>
        <v>42221.656782407401</v>
      </c>
      <c r="T3937" s="16">
        <f t="shared" si="369"/>
        <v>42281.656782407401</v>
      </c>
      <c r="U3937">
        <f t="shared" si="370"/>
        <v>60</v>
      </c>
      <c r="V3937">
        <f t="shared" si="371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 s="8">
        <f t="shared" si="367"/>
        <v>0</v>
      </c>
      <c r="Q3938" s="10" t="s">
        <v>8315</v>
      </c>
      <c r="R3938" s="10" t="s">
        <v>8316</v>
      </c>
      <c r="S3938" s="16">
        <f t="shared" si="368"/>
        <v>42675.262962962966</v>
      </c>
      <c r="T3938" s="16">
        <f t="shared" si="369"/>
        <v>42705.304629629631</v>
      </c>
      <c r="U3938">
        <f t="shared" si="370"/>
        <v>30</v>
      </c>
      <c r="V3938">
        <f t="shared" si="371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 s="8">
        <f t="shared" si="367"/>
        <v>248.5</v>
      </c>
      <c r="Q3939" s="10" t="s">
        <v>8315</v>
      </c>
      <c r="R3939" s="10" t="s">
        <v>8316</v>
      </c>
      <c r="S3939" s="16">
        <f t="shared" si="368"/>
        <v>42534.631481481483</v>
      </c>
      <c r="T3939" s="16">
        <f t="shared" si="369"/>
        <v>42562.631481481483</v>
      </c>
      <c r="U3939">
        <f t="shared" si="370"/>
        <v>28</v>
      </c>
      <c r="V3939">
        <f t="shared" si="371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 s="8">
        <f t="shared" si="367"/>
        <v>79.400000000000006</v>
      </c>
      <c r="Q3940" s="10" t="s">
        <v>8315</v>
      </c>
      <c r="R3940" s="10" t="s">
        <v>8316</v>
      </c>
      <c r="S3940" s="16">
        <f t="shared" si="368"/>
        <v>42151.905717592599</v>
      </c>
      <c r="T3940" s="16">
        <f t="shared" si="369"/>
        <v>42182.905717592599</v>
      </c>
      <c r="U3940">
        <f t="shared" si="370"/>
        <v>31</v>
      </c>
      <c r="V3940">
        <f t="shared" si="371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 s="8">
        <f t="shared" si="367"/>
        <v>5</v>
      </c>
      <c r="Q3941" s="10" t="s">
        <v>8315</v>
      </c>
      <c r="R3941" s="10" t="s">
        <v>8316</v>
      </c>
      <c r="S3941" s="16">
        <f t="shared" si="368"/>
        <v>41915.400219907409</v>
      </c>
      <c r="T3941" s="16">
        <f t="shared" si="369"/>
        <v>41919.1875</v>
      </c>
      <c r="U3941">
        <f t="shared" si="370"/>
        <v>4</v>
      </c>
      <c r="V3941">
        <f t="shared" si="371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 s="8">
        <f t="shared" si="367"/>
        <v>5.5</v>
      </c>
      <c r="Q3942" s="10" t="s">
        <v>8315</v>
      </c>
      <c r="R3942" s="10" t="s">
        <v>8316</v>
      </c>
      <c r="S3942" s="16">
        <f t="shared" si="368"/>
        <v>41961.492488425924</v>
      </c>
      <c r="T3942" s="16">
        <f t="shared" si="369"/>
        <v>42006.492488425924</v>
      </c>
      <c r="U3942">
        <f t="shared" si="370"/>
        <v>45</v>
      </c>
      <c r="V3942">
        <f t="shared" si="371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 s="8">
        <f t="shared" si="367"/>
        <v>25</v>
      </c>
      <c r="Q3943" s="10" t="s">
        <v>8315</v>
      </c>
      <c r="R3943" s="10" t="s">
        <v>8316</v>
      </c>
      <c r="S3943" s="16">
        <f t="shared" si="368"/>
        <v>41940.587233796294</v>
      </c>
      <c r="T3943" s="16">
        <f t="shared" si="369"/>
        <v>41968.041666666672</v>
      </c>
      <c r="U3943">
        <f t="shared" si="370"/>
        <v>27</v>
      </c>
      <c r="V3943">
        <f t="shared" si="371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 s="8">
        <f t="shared" si="367"/>
        <v>0</v>
      </c>
      <c r="Q3944" s="10" t="s">
        <v>8315</v>
      </c>
      <c r="R3944" s="10" t="s">
        <v>8316</v>
      </c>
      <c r="S3944" s="16">
        <f t="shared" si="368"/>
        <v>42111.904097222221</v>
      </c>
      <c r="T3944" s="16">
        <f t="shared" si="369"/>
        <v>42171.904097222221</v>
      </c>
      <c r="U3944">
        <f t="shared" si="370"/>
        <v>60</v>
      </c>
      <c r="V3944">
        <f t="shared" si="371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 s="8">
        <f t="shared" si="367"/>
        <v>137.08000000000001</v>
      </c>
      <c r="Q3945" s="10" t="s">
        <v>8315</v>
      </c>
      <c r="R3945" s="10" t="s">
        <v>8316</v>
      </c>
      <c r="S3945" s="16">
        <f t="shared" si="368"/>
        <v>42279.778564814813</v>
      </c>
      <c r="T3945" s="16">
        <f t="shared" si="369"/>
        <v>42310.701388888891</v>
      </c>
      <c r="U3945">
        <f t="shared" si="370"/>
        <v>31</v>
      </c>
      <c r="V3945">
        <f t="shared" si="371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 s="8">
        <f t="shared" si="367"/>
        <v>0</v>
      </c>
      <c r="Q3946" s="10" t="s">
        <v>8315</v>
      </c>
      <c r="R3946" s="10" t="s">
        <v>8316</v>
      </c>
      <c r="S3946" s="16">
        <f t="shared" si="368"/>
        <v>42213.662905092591</v>
      </c>
      <c r="T3946" s="16">
        <f t="shared" si="369"/>
        <v>42243.662905092591</v>
      </c>
      <c r="U3946">
        <f t="shared" si="370"/>
        <v>30</v>
      </c>
      <c r="V3946">
        <f t="shared" si="371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 s="8">
        <f t="shared" si="367"/>
        <v>5</v>
      </c>
      <c r="Q3947" s="10" t="s">
        <v>8315</v>
      </c>
      <c r="R3947" s="10" t="s">
        <v>8316</v>
      </c>
      <c r="S3947" s="16">
        <f t="shared" si="368"/>
        <v>42109.801712962959</v>
      </c>
      <c r="T3947" s="16">
        <f t="shared" si="369"/>
        <v>42139.801712962959</v>
      </c>
      <c r="U3947">
        <f t="shared" si="370"/>
        <v>30</v>
      </c>
      <c r="V3947">
        <f t="shared" si="371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 s="8">
        <f t="shared" si="367"/>
        <v>39</v>
      </c>
      <c r="Q3948" s="10" t="s">
        <v>8315</v>
      </c>
      <c r="R3948" s="10" t="s">
        <v>8316</v>
      </c>
      <c r="S3948" s="16">
        <f t="shared" si="368"/>
        <v>42031.833587962959</v>
      </c>
      <c r="T3948" s="16">
        <f t="shared" si="369"/>
        <v>42063.333333333328</v>
      </c>
      <c r="U3948">
        <f t="shared" si="370"/>
        <v>31</v>
      </c>
      <c r="V3948">
        <f t="shared" si="371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 s="8">
        <f t="shared" si="367"/>
        <v>50.5</v>
      </c>
      <c r="Q3949" s="10" t="s">
        <v>8315</v>
      </c>
      <c r="R3949" s="10" t="s">
        <v>8316</v>
      </c>
      <c r="S3949" s="16">
        <f t="shared" si="368"/>
        <v>42615.142870370371</v>
      </c>
      <c r="T3949" s="16">
        <f t="shared" si="369"/>
        <v>42645.142870370371</v>
      </c>
      <c r="U3949">
        <f t="shared" si="370"/>
        <v>30</v>
      </c>
      <c r="V3949">
        <f t="shared" si="371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 s="8">
        <f t="shared" si="367"/>
        <v>0</v>
      </c>
      <c r="Q3950" s="10" t="s">
        <v>8315</v>
      </c>
      <c r="R3950" s="10" t="s">
        <v>8316</v>
      </c>
      <c r="S3950" s="16">
        <f t="shared" si="368"/>
        <v>41829.325497685182</v>
      </c>
      <c r="T3950" s="16">
        <f t="shared" si="369"/>
        <v>41889.325497685182</v>
      </c>
      <c r="U3950">
        <f t="shared" si="370"/>
        <v>60</v>
      </c>
      <c r="V3950">
        <f t="shared" si="371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 s="8">
        <f t="shared" si="367"/>
        <v>49.28</v>
      </c>
      <c r="Q3951" s="10" t="s">
        <v>8315</v>
      </c>
      <c r="R3951" s="10" t="s">
        <v>8316</v>
      </c>
      <c r="S3951" s="16">
        <f t="shared" si="368"/>
        <v>42016.120613425926</v>
      </c>
      <c r="T3951" s="16">
        <f t="shared" si="369"/>
        <v>42046.120613425926</v>
      </c>
      <c r="U3951">
        <f t="shared" si="370"/>
        <v>30</v>
      </c>
      <c r="V3951">
        <f t="shared" si="371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 s="8">
        <f t="shared" si="367"/>
        <v>25</v>
      </c>
      <c r="Q3952" s="10" t="s">
        <v>8315</v>
      </c>
      <c r="R3952" s="10" t="s">
        <v>8316</v>
      </c>
      <c r="S3952" s="16">
        <f t="shared" si="368"/>
        <v>42439.702314814815</v>
      </c>
      <c r="T3952" s="16">
        <f t="shared" si="369"/>
        <v>42468.774305555555</v>
      </c>
      <c r="U3952">
        <f t="shared" si="370"/>
        <v>29</v>
      </c>
      <c r="V3952">
        <f t="shared" si="371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 s="8">
        <f t="shared" si="367"/>
        <v>1</v>
      </c>
      <c r="Q3953" s="10" t="s">
        <v>8315</v>
      </c>
      <c r="R3953" s="10" t="s">
        <v>8316</v>
      </c>
      <c r="S3953" s="16">
        <f t="shared" si="368"/>
        <v>42433.825717592597</v>
      </c>
      <c r="T3953" s="16">
        <f t="shared" si="369"/>
        <v>42493.784050925926</v>
      </c>
      <c r="U3953">
        <f t="shared" si="370"/>
        <v>60</v>
      </c>
      <c r="V3953">
        <f t="shared" si="371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 s="8">
        <f t="shared" si="367"/>
        <v>25</v>
      </c>
      <c r="Q3954" s="10" t="s">
        <v>8315</v>
      </c>
      <c r="R3954" s="10" t="s">
        <v>8316</v>
      </c>
      <c r="S3954" s="16">
        <f t="shared" si="368"/>
        <v>42243.790393518517</v>
      </c>
      <c r="T3954" s="16">
        <f t="shared" si="369"/>
        <v>42303.790393518517</v>
      </c>
      <c r="U3954">
        <f t="shared" si="370"/>
        <v>60</v>
      </c>
      <c r="V3954">
        <f t="shared" si="371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 s="8">
        <f t="shared" si="367"/>
        <v>0</v>
      </c>
      <c r="Q3955" s="10" t="s">
        <v>8315</v>
      </c>
      <c r="R3955" s="10" t="s">
        <v>8316</v>
      </c>
      <c r="S3955" s="16">
        <f t="shared" si="368"/>
        <v>42550.048449074078</v>
      </c>
      <c r="T3955" s="16">
        <f t="shared" si="369"/>
        <v>42580.978472222225</v>
      </c>
      <c r="U3955">
        <f t="shared" si="370"/>
        <v>31</v>
      </c>
      <c r="V3955">
        <f t="shared" si="371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 s="8">
        <f t="shared" si="367"/>
        <v>0</v>
      </c>
      <c r="Q3956" s="10" t="s">
        <v>8315</v>
      </c>
      <c r="R3956" s="10" t="s">
        <v>8316</v>
      </c>
      <c r="S3956" s="16">
        <f t="shared" si="368"/>
        <v>41774.651203703703</v>
      </c>
      <c r="T3956" s="16">
        <f t="shared" si="369"/>
        <v>41834.651203703703</v>
      </c>
      <c r="U3956">
        <f t="shared" si="370"/>
        <v>60</v>
      </c>
      <c r="V3956">
        <f t="shared" si="371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 s="8">
        <f t="shared" si="367"/>
        <v>53.13</v>
      </c>
      <c r="Q3957" s="10" t="s">
        <v>8315</v>
      </c>
      <c r="R3957" s="10" t="s">
        <v>8316</v>
      </c>
      <c r="S3957" s="16">
        <f t="shared" si="368"/>
        <v>42306.848854166667</v>
      </c>
      <c r="T3957" s="16">
        <f t="shared" si="369"/>
        <v>42336.890520833331</v>
      </c>
      <c r="U3957">
        <f t="shared" si="370"/>
        <v>30</v>
      </c>
      <c r="V3957">
        <f t="shared" si="371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 s="8">
        <f t="shared" si="367"/>
        <v>0</v>
      </c>
      <c r="Q3958" s="10" t="s">
        <v>8315</v>
      </c>
      <c r="R3958" s="10" t="s">
        <v>8316</v>
      </c>
      <c r="S3958" s="16">
        <f t="shared" si="368"/>
        <v>42457.932025462964</v>
      </c>
      <c r="T3958" s="16">
        <f t="shared" si="369"/>
        <v>42485.013888888891</v>
      </c>
      <c r="U3958">
        <f t="shared" si="370"/>
        <v>27</v>
      </c>
      <c r="V3958">
        <f t="shared" si="371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 s="8">
        <f t="shared" si="367"/>
        <v>7</v>
      </c>
      <c r="Q3959" s="10" t="s">
        <v>8315</v>
      </c>
      <c r="R3959" s="10" t="s">
        <v>8316</v>
      </c>
      <c r="S3959" s="16">
        <f t="shared" si="368"/>
        <v>42513.976319444439</v>
      </c>
      <c r="T3959" s="16">
        <f t="shared" si="369"/>
        <v>42559.976319444439</v>
      </c>
      <c r="U3959">
        <f t="shared" si="370"/>
        <v>46</v>
      </c>
      <c r="V3959">
        <f t="shared" si="371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 s="8">
        <f t="shared" si="367"/>
        <v>40.06</v>
      </c>
      <c r="Q3960" s="10" t="s">
        <v>8315</v>
      </c>
      <c r="R3960" s="10" t="s">
        <v>8316</v>
      </c>
      <c r="S3960" s="16">
        <f t="shared" si="368"/>
        <v>41816.950370370374</v>
      </c>
      <c r="T3960" s="16">
        <f t="shared" si="369"/>
        <v>41853.583333333336</v>
      </c>
      <c r="U3960">
        <f t="shared" si="370"/>
        <v>37</v>
      </c>
      <c r="V3960">
        <f t="shared" si="371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 s="8">
        <f t="shared" si="367"/>
        <v>24.33</v>
      </c>
      <c r="Q3961" s="10" t="s">
        <v>8315</v>
      </c>
      <c r="R3961" s="10" t="s">
        <v>8316</v>
      </c>
      <c r="S3961" s="16">
        <f t="shared" si="368"/>
        <v>41880.788842592592</v>
      </c>
      <c r="T3961" s="16">
        <f t="shared" si="369"/>
        <v>41910.788842592592</v>
      </c>
      <c r="U3961">
        <f t="shared" si="370"/>
        <v>30</v>
      </c>
      <c r="V3961">
        <f t="shared" si="371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 s="8">
        <f t="shared" si="367"/>
        <v>11.25</v>
      </c>
      <c r="Q3962" s="10" t="s">
        <v>8315</v>
      </c>
      <c r="R3962" s="10" t="s">
        <v>8316</v>
      </c>
      <c r="S3962" s="16">
        <f t="shared" si="368"/>
        <v>42342.845555555556</v>
      </c>
      <c r="T3962" s="16">
        <f t="shared" si="369"/>
        <v>42372.845555555556</v>
      </c>
      <c r="U3962">
        <f t="shared" si="370"/>
        <v>30</v>
      </c>
      <c r="V3962">
        <f t="shared" si="371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 s="8">
        <f t="shared" si="367"/>
        <v>10.5</v>
      </c>
      <c r="Q3963" s="10" t="s">
        <v>8315</v>
      </c>
      <c r="R3963" s="10" t="s">
        <v>8316</v>
      </c>
      <c r="S3963" s="16">
        <f t="shared" si="368"/>
        <v>41745.891319444447</v>
      </c>
      <c r="T3963" s="16">
        <f t="shared" si="369"/>
        <v>41767.891319444447</v>
      </c>
      <c r="U3963">
        <f t="shared" si="370"/>
        <v>22</v>
      </c>
      <c r="V3963">
        <f t="shared" si="371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 s="8">
        <f t="shared" si="367"/>
        <v>15</v>
      </c>
      <c r="Q3964" s="10" t="s">
        <v>8315</v>
      </c>
      <c r="R3964" s="10" t="s">
        <v>8316</v>
      </c>
      <c r="S3964" s="16">
        <f t="shared" si="368"/>
        <v>42311.621458333335</v>
      </c>
      <c r="T3964" s="16">
        <f t="shared" si="369"/>
        <v>42336.621458333335</v>
      </c>
      <c r="U3964">
        <f t="shared" si="370"/>
        <v>25</v>
      </c>
      <c r="V3964">
        <f t="shared" si="371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 s="8">
        <f t="shared" si="367"/>
        <v>0</v>
      </c>
      <c r="Q3965" s="10" t="s">
        <v>8315</v>
      </c>
      <c r="R3965" s="10" t="s">
        <v>8316</v>
      </c>
      <c r="S3965" s="16">
        <f t="shared" si="368"/>
        <v>42296.154131944444</v>
      </c>
      <c r="T3965" s="16">
        <f t="shared" si="369"/>
        <v>42326.195798611108</v>
      </c>
      <c r="U3965">
        <f t="shared" si="370"/>
        <v>30</v>
      </c>
      <c r="V3965">
        <f t="shared" si="371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 s="8">
        <f t="shared" si="367"/>
        <v>42</v>
      </c>
      <c r="Q3966" s="10" t="s">
        <v>8315</v>
      </c>
      <c r="R3966" s="10" t="s">
        <v>8316</v>
      </c>
      <c r="S3966" s="16">
        <f t="shared" si="368"/>
        <v>42053.722060185188</v>
      </c>
      <c r="T3966" s="16">
        <f t="shared" si="369"/>
        <v>42113.680393518516</v>
      </c>
      <c r="U3966">
        <f t="shared" si="370"/>
        <v>60</v>
      </c>
      <c r="V3966">
        <f t="shared" si="371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 s="8">
        <f t="shared" si="367"/>
        <v>71.25</v>
      </c>
      <c r="Q3967" s="10" t="s">
        <v>8315</v>
      </c>
      <c r="R3967" s="10" t="s">
        <v>8316</v>
      </c>
      <c r="S3967" s="16">
        <f t="shared" si="368"/>
        <v>42414.235879629632</v>
      </c>
      <c r="T3967" s="16">
        <f t="shared" si="369"/>
        <v>42474.194212962961</v>
      </c>
      <c r="U3967">
        <f t="shared" si="370"/>
        <v>60</v>
      </c>
      <c r="V3967">
        <f t="shared" si="371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 s="8">
        <f t="shared" si="367"/>
        <v>22.5</v>
      </c>
      <c r="Q3968" s="10" t="s">
        <v>8315</v>
      </c>
      <c r="R3968" s="10" t="s">
        <v>8316</v>
      </c>
      <c r="S3968" s="16">
        <f t="shared" si="368"/>
        <v>41801.711550925924</v>
      </c>
      <c r="T3968" s="16">
        <f t="shared" si="369"/>
        <v>41844.124305555553</v>
      </c>
      <c r="U3968">
        <f t="shared" si="370"/>
        <v>42</v>
      </c>
      <c r="V3968">
        <f t="shared" si="371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 s="8">
        <f t="shared" si="367"/>
        <v>41</v>
      </c>
      <c r="Q3969" s="10" t="s">
        <v>8315</v>
      </c>
      <c r="R3969" s="10" t="s">
        <v>8316</v>
      </c>
      <c r="S3969" s="16">
        <f t="shared" si="368"/>
        <v>42770.290590277778</v>
      </c>
      <c r="T3969" s="16">
        <f t="shared" si="369"/>
        <v>42800.290590277778</v>
      </c>
      <c r="U3969">
        <f t="shared" si="370"/>
        <v>30</v>
      </c>
      <c r="V3969">
        <f t="shared" si="371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ROUND((E3970/D3970)*100, 0)</f>
        <v>11</v>
      </c>
      <c r="P3970" s="8">
        <f t="shared" ref="P3970:P4033" si="373">IFERROR(ROUND(E3970/L3970, 2), 0)</f>
        <v>47.91</v>
      </c>
      <c r="Q3970" s="10" t="s">
        <v>8315</v>
      </c>
      <c r="R3970" s="10" t="s">
        <v>8316</v>
      </c>
      <c r="S3970" s="16">
        <f t="shared" ref="S3970:S4033" si="374">(J3970/60/60/24)+DATE(1970, 1, 1)</f>
        <v>42452.815659722226</v>
      </c>
      <c r="T3970" s="16">
        <f t="shared" ref="T3970:T4033" si="375">(I3970/60/60/24)+DATE(1970, 1, 1)</f>
        <v>42512.815659722226</v>
      </c>
      <c r="U3970">
        <f t="shared" si="370"/>
        <v>60</v>
      </c>
      <c r="V3970">
        <f t="shared" si="371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 s="8">
        <f t="shared" si="373"/>
        <v>35.17</v>
      </c>
      <c r="Q3971" s="10" t="s">
        <v>8315</v>
      </c>
      <c r="R3971" s="10" t="s">
        <v>8316</v>
      </c>
      <c r="S3971" s="16">
        <f t="shared" si="374"/>
        <v>42601.854699074072</v>
      </c>
      <c r="T3971" s="16">
        <f t="shared" si="375"/>
        <v>42611.163194444445</v>
      </c>
      <c r="U3971">
        <f t="shared" ref="U3971:U4034" si="376">ROUND(T3971-S3971, 0)</f>
        <v>9</v>
      </c>
      <c r="V3971">
        <f t="shared" ref="V3971:V4034" si="377">YEAR($S3971)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 s="8">
        <f t="shared" si="373"/>
        <v>5.5</v>
      </c>
      <c r="Q3972" s="10" t="s">
        <v>8315</v>
      </c>
      <c r="R3972" s="10" t="s">
        <v>8316</v>
      </c>
      <c r="S3972" s="16">
        <f t="shared" si="374"/>
        <v>42447.863553240735</v>
      </c>
      <c r="T3972" s="16">
        <f t="shared" si="375"/>
        <v>42477.863553240735</v>
      </c>
      <c r="U3972">
        <f t="shared" si="376"/>
        <v>30</v>
      </c>
      <c r="V3972">
        <f t="shared" si="377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 s="8">
        <f t="shared" si="373"/>
        <v>22.67</v>
      </c>
      <c r="Q3973" s="10" t="s">
        <v>8315</v>
      </c>
      <c r="R3973" s="10" t="s">
        <v>8316</v>
      </c>
      <c r="S3973" s="16">
        <f t="shared" si="374"/>
        <v>41811.536180555559</v>
      </c>
      <c r="T3973" s="16">
        <f t="shared" si="375"/>
        <v>41841.536180555559</v>
      </c>
      <c r="U3973">
        <f t="shared" si="376"/>
        <v>30</v>
      </c>
      <c r="V3973">
        <f t="shared" si="377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 s="8">
        <f t="shared" si="373"/>
        <v>26.38</v>
      </c>
      <c r="Q3974" s="10" t="s">
        <v>8315</v>
      </c>
      <c r="R3974" s="10" t="s">
        <v>8316</v>
      </c>
      <c r="S3974" s="16">
        <f t="shared" si="374"/>
        <v>41981.067523148144</v>
      </c>
      <c r="T3974" s="16">
        <f t="shared" si="375"/>
        <v>42041.067523148144</v>
      </c>
      <c r="U3974">
        <f t="shared" si="376"/>
        <v>60</v>
      </c>
      <c r="V3974">
        <f t="shared" si="377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 s="8">
        <f t="shared" si="373"/>
        <v>105.54</v>
      </c>
      <c r="Q3975" s="10" t="s">
        <v>8315</v>
      </c>
      <c r="R3975" s="10" t="s">
        <v>8316</v>
      </c>
      <c r="S3975" s="16">
        <f t="shared" si="374"/>
        <v>42469.68414351852</v>
      </c>
      <c r="T3975" s="16">
        <f t="shared" si="375"/>
        <v>42499.166666666672</v>
      </c>
      <c r="U3975">
        <f t="shared" si="376"/>
        <v>29</v>
      </c>
      <c r="V3975">
        <f t="shared" si="377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 s="8">
        <f t="shared" si="373"/>
        <v>29.09</v>
      </c>
      <c r="Q3976" s="10" t="s">
        <v>8315</v>
      </c>
      <c r="R3976" s="10" t="s">
        <v>8316</v>
      </c>
      <c r="S3976" s="16">
        <f t="shared" si="374"/>
        <v>42493.546851851846</v>
      </c>
      <c r="T3976" s="16">
        <f t="shared" si="375"/>
        <v>42523.546851851846</v>
      </c>
      <c r="U3976">
        <f t="shared" si="376"/>
        <v>30</v>
      </c>
      <c r="V3976">
        <f t="shared" si="377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 s="8">
        <f t="shared" si="373"/>
        <v>0</v>
      </c>
      <c r="Q3977" s="10" t="s">
        <v>8315</v>
      </c>
      <c r="R3977" s="10" t="s">
        <v>8316</v>
      </c>
      <c r="S3977" s="16">
        <f t="shared" si="374"/>
        <v>42534.866875</v>
      </c>
      <c r="T3977" s="16">
        <f t="shared" si="375"/>
        <v>42564.866875</v>
      </c>
      <c r="U3977">
        <f t="shared" si="376"/>
        <v>30</v>
      </c>
      <c r="V3977">
        <f t="shared" si="377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 s="8">
        <f t="shared" si="373"/>
        <v>62</v>
      </c>
      <c r="Q3978" s="10" t="s">
        <v>8315</v>
      </c>
      <c r="R3978" s="10" t="s">
        <v>8316</v>
      </c>
      <c r="S3978" s="16">
        <f t="shared" si="374"/>
        <v>41830.858344907407</v>
      </c>
      <c r="T3978" s="16">
        <f t="shared" si="375"/>
        <v>41852.291666666664</v>
      </c>
      <c r="U3978">
        <f t="shared" si="376"/>
        <v>21</v>
      </c>
      <c r="V3978">
        <f t="shared" si="377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 s="8">
        <f t="shared" si="373"/>
        <v>217.5</v>
      </c>
      <c r="Q3979" s="10" t="s">
        <v>8315</v>
      </c>
      <c r="R3979" s="10" t="s">
        <v>8316</v>
      </c>
      <c r="S3979" s="16">
        <f t="shared" si="374"/>
        <v>42543.788564814815</v>
      </c>
      <c r="T3979" s="16">
        <f t="shared" si="375"/>
        <v>42573.788564814815</v>
      </c>
      <c r="U3979">
        <f t="shared" si="376"/>
        <v>30</v>
      </c>
      <c r="V3979">
        <f t="shared" si="377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 s="8">
        <f t="shared" si="373"/>
        <v>26.75</v>
      </c>
      <c r="Q3980" s="10" t="s">
        <v>8315</v>
      </c>
      <c r="R3980" s="10" t="s">
        <v>8316</v>
      </c>
      <c r="S3980" s="16">
        <f t="shared" si="374"/>
        <v>41975.642974537041</v>
      </c>
      <c r="T3980" s="16">
        <f t="shared" si="375"/>
        <v>42035.642974537041</v>
      </c>
      <c r="U3980">
        <f t="shared" si="376"/>
        <v>60</v>
      </c>
      <c r="V3980">
        <f t="shared" si="377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 s="8">
        <f t="shared" si="373"/>
        <v>18.329999999999998</v>
      </c>
      <c r="Q3981" s="10" t="s">
        <v>8315</v>
      </c>
      <c r="R3981" s="10" t="s">
        <v>8316</v>
      </c>
      <c r="S3981" s="16">
        <f t="shared" si="374"/>
        <v>42069.903437500005</v>
      </c>
      <c r="T3981" s="16">
        <f t="shared" si="375"/>
        <v>42092.833333333328</v>
      </c>
      <c r="U3981">
        <f t="shared" si="376"/>
        <v>23</v>
      </c>
      <c r="V3981">
        <f t="shared" si="377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 s="8">
        <f t="shared" si="373"/>
        <v>64.290000000000006</v>
      </c>
      <c r="Q3982" s="10" t="s">
        <v>8315</v>
      </c>
      <c r="R3982" s="10" t="s">
        <v>8316</v>
      </c>
      <c r="S3982" s="16">
        <f t="shared" si="374"/>
        <v>41795.598923611113</v>
      </c>
      <c r="T3982" s="16">
        <f t="shared" si="375"/>
        <v>41825.598923611113</v>
      </c>
      <c r="U3982">
        <f t="shared" si="376"/>
        <v>30</v>
      </c>
      <c r="V3982">
        <f t="shared" si="377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 s="8">
        <f t="shared" si="373"/>
        <v>175</v>
      </c>
      <c r="Q3983" s="10" t="s">
        <v>8315</v>
      </c>
      <c r="R3983" s="10" t="s">
        <v>8316</v>
      </c>
      <c r="S3983" s="16">
        <f t="shared" si="374"/>
        <v>42508.179965277777</v>
      </c>
      <c r="T3983" s="16">
        <f t="shared" si="375"/>
        <v>42568.179965277777</v>
      </c>
      <c r="U3983">
        <f t="shared" si="376"/>
        <v>60</v>
      </c>
      <c r="V3983">
        <f t="shared" si="377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 s="8">
        <f t="shared" si="373"/>
        <v>34</v>
      </c>
      <c r="Q3984" s="10" t="s">
        <v>8315</v>
      </c>
      <c r="R3984" s="10" t="s">
        <v>8316</v>
      </c>
      <c r="S3984" s="16">
        <f t="shared" si="374"/>
        <v>42132.809953703705</v>
      </c>
      <c r="T3984" s="16">
        <f t="shared" si="375"/>
        <v>42192.809953703705</v>
      </c>
      <c r="U3984">
        <f t="shared" si="376"/>
        <v>60</v>
      </c>
      <c r="V3984">
        <f t="shared" si="377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 s="8">
        <f t="shared" si="373"/>
        <v>84.28</v>
      </c>
      <c r="Q3985" s="10" t="s">
        <v>8315</v>
      </c>
      <c r="R3985" s="10" t="s">
        <v>8316</v>
      </c>
      <c r="S3985" s="16">
        <f t="shared" si="374"/>
        <v>41747.86986111111</v>
      </c>
      <c r="T3985" s="16">
        <f t="shared" si="375"/>
        <v>41779.290972222225</v>
      </c>
      <c r="U3985">
        <f t="shared" si="376"/>
        <v>31</v>
      </c>
      <c r="V3985">
        <f t="shared" si="377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 s="8">
        <f t="shared" si="373"/>
        <v>9.5</v>
      </c>
      <c r="Q3986" s="10" t="s">
        <v>8315</v>
      </c>
      <c r="R3986" s="10" t="s">
        <v>8316</v>
      </c>
      <c r="S3986" s="16">
        <f t="shared" si="374"/>
        <v>41920.963472222218</v>
      </c>
      <c r="T3986" s="16">
        <f t="shared" si="375"/>
        <v>41951</v>
      </c>
      <c r="U3986">
        <f t="shared" si="376"/>
        <v>30</v>
      </c>
      <c r="V3986">
        <f t="shared" si="377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 s="8">
        <f t="shared" si="373"/>
        <v>33.74</v>
      </c>
      <c r="Q3987" s="10" t="s">
        <v>8315</v>
      </c>
      <c r="R3987" s="10" t="s">
        <v>8316</v>
      </c>
      <c r="S3987" s="16">
        <f t="shared" si="374"/>
        <v>42399.707407407404</v>
      </c>
      <c r="T3987" s="16">
        <f t="shared" si="375"/>
        <v>42420.878472222219</v>
      </c>
      <c r="U3987">
        <f t="shared" si="376"/>
        <v>21</v>
      </c>
      <c r="V3987">
        <f t="shared" si="377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 s="8">
        <f t="shared" si="373"/>
        <v>37.54</v>
      </c>
      <c r="Q3988" s="10" t="s">
        <v>8315</v>
      </c>
      <c r="R3988" s="10" t="s">
        <v>8316</v>
      </c>
      <c r="S3988" s="16">
        <f t="shared" si="374"/>
        <v>42467.548541666663</v>
      </c>
      <c r="T3988" s="16">
        <f t="shared" si="375"/>
        <v>42496.544444444444</v>
      </c>
      <c r="U3988">
        <f t="shared" si="376"/>
        <v>29</v>
      </c>
      <c r="V3988">
        <f t="shared" si="377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 s="8">
        <f t="shared" si="373"/>
        <v>11.62</v>
      </c>
      <c r="Q3989" s="10" t="s">
        <v>8315</v>
      </c>
      <c r="R3989" s="10" t="s">
        <v>8316</v>
      </c>
      <c r="S3989" s="16">
        <f t="shared" si="374"/>
        <v>41765.92465277778</v>
      </c>
      <c r="T3989" s="16">
        <f t="shared" si="375"/>
        <v>41775.92465277778</v>
      </c>
      <c r="U3989">
        <f t="shared" si="376"/>
        <v>10</v>
      </c>
      <c r="V3989">
        <f t="shared" si="377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 s="8">
        <f t="shared" si="373"/>
        <v>8</v>
      </c>
      <c r="Q3990" s="10" t="s">
        <v>8315</v>
      </c>
      <c r="R3990" s="10" t="s">
        <v>8316</v>
      </c>
      <c r="S3990" s="16">
        <f t="shared" si="374"/>
        <v>42230.08116898148</v>
      </c>
      <c r="T3990" s="16">
        <f t="shared" si="375"/>
        <v>42245.08116898148</v>
      </c>
      <c r="U3990">
        <f t="shared" si="376"/>
        <v>15</v>
      </c>
      <c r="V3990">
        <f t="shared" si="377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 s="8">
        <f t="shared" si="373"/>
        <v>0</v>
      </c>
      <c r="Q3991" s="10" t="s">
        <v>8315</v>
      </c>
      <c r="R3991" s="10" t="s">
        <v>8316</v>
      </c>
      <c r="S3991" s="16">
        <f t="shared" si="374"/>
        <v>42286.749780092592</v>
      </c>
      <c r="T3991" s="16">
        <f t="shared" si="375"/>
        <v>42316.791446759264</v>
      </c>
      <c r="U3991">
        <f t="shared" si="376"/>
        <v>30</v>
      </c>
      <c r="V3991">
        <f t="shared" si="377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 s="8">
        <f t="shared" si="373"/>
        <v>23</v>
      </c>
      <c r="Q3992" s="10" t="s">
        <v>8315</v>
      </c>
      <c r="R3992" s="10" t="s">
        <v>8316</v>
      </c>
      <c r="S3992" s="16">
        <f t="shared" si="374"/>
        <v>42401.672372685185</v>
      </c>
      <c r="T3992" s="16">
        <f t="shared" si="375"/>
        <v>42431.672372685185</v>
      </c>
      <c r="U3992">
        <f t="shared" si="376"/>
        <v>30</v>
      </c>
      <c r="V3992">
        <f t="shared" si="377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 s="8">
        <f t="shared" si="373"/>
        <v>100</v>
      </c>
      <c r="Q3993" s="10" t="s">
        <v>8315</v>
      </c>
      <c r="R3993" s="10" t="s">
        <v>8316</v>
      </c>
      <c r="S3993" s="16">
        <f t="shared" si="374"/>
        <v>42125.644467592589</v>
      </c>
      <c r="T3993" s="16">
        <f t="shared" si="375"/>
        <v>42155.644467592589</v>
      </c>
      <c r="U3993">
        <f t="shared" si="376"/>
        <v>30</v>
      </c>
      <c r="V3993">
        <f t="shared" si="377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 s="8">
        <f t="shared" si="373"/>
        <v>60.11</v>
      </c>
      <c r="Q3994" s="10" t="s">
        <v>8315</v>
      </c>
      <c r="R3994" s="10" t="s">
        <v>8316</v>
      </c>
      <c r="S3994" s="16">
        <f t="shared" si="374"/>
        <v>42289.94049768518</v>
      </c>
      <c r="T3994" s="16">
        <f t="shared" si="375"/>
        <v>42349.982164351852</v>
      </c>
      <c r="U3994">
        <f t="shared" si="376"/>
        <v>60</v>
      </c>
      <c r="V3994">
        <f t="shared" si="377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 s="8">
        <f t="shared" si="373"/>
        <v>3</v>
      </c>
      <c r="Q3995" s="10" t="s">
        <v>8315</v>
      </c>
      <c r="R3995" s="10" t="s">
        <v>8316</v>
      </c>
      <c r="S3995" s="16">
        <f t="shared" si="374"/>
        <v>42107.864722222221</v>
      </c>
      <c r="T3995" s="16">
        <f t="shared" si="375"/>
        <v>42137.864722222221</v>
      </c>
      <c r="U3995">
        <f t="shared" si="376"/>
        <v>30</v>
      </c>
      <c r="V3995">
        <f t="shared" si="377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 s="8">
        <f t="shared" si="373"/>
        <v>5</v>
      </c>
      <c r="Q3996" s="10" t="s">
        <v>8315</v>
      </c>
      <c r="R3996" s="10" t="s">
        <v>8316</v>
      </c>
      <c r="S3996" s="16">
        <f t="shared" si="374"/>
        <v>41809.389930555553</v>
      </c>
      <c r="T3996" s="16">
        <f t="shared" si="375"/>
        <v>41839.389930555553</v>
      </c>
      <c r="U3996">
        <f t="shared" si="376"/>
        <v>30</v>
      </c>
      <c r="V3996">
        <f t="shared" si="377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 s="8">
        <f t="shared" si="373"/>
        <v>17.5</v>
      </c>
      <c r="Q3997" s="10" t="s">
        <v>8315</v>
      </c>
      <c r="R3997" s="10" t="s">
        <v>8316</v>
      </c>
      <c r="S3997" s="16">
        <f t="shared" si="374"/>
        <v>42019.683761574073</v>
      </c>
      <c r="T3997" s="16">
        <f t="shared" si="375"/>
        <v>42049.477083333331</v>
      </c>
      <c r="U3997">
        <f t="shared" si="376"/>
        <v>30</v>
      </c>
      <c r="V3997">
        <f t="shared" si="377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 s="8">
        <f t="shared" si="373"/>
        <v>29.24</v>
      </c>
      <c r="Q3998" s="10" t="s">
        <v>8315</v>
      </c>
      <c r="R3998" s="10" t="s">
        <v>8316</v>
      </c>
      <c r="S3998" s="16">
        <f t="shared" si="374"/>
        <v>41950.26694444444</v>
      </c>
      <c r="T3998" s="16">
        <f t="shared" si="375"/>
        <v>41963.669444444444</v>
      </c>
      <c r="U3998">
        <f t="shared" si="376"/>
        <v>13</v>
      </c>
      <c r="V3998">
        <f t="shared" si="377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 s="8">
        <f t="shared" si="373"/>
        <v>0</v>
      </c>
      <c r="Q3999" s="10" t="s">
        <v>8315</v>
      </c>
      <c r="R3999" s="10" t="s">
        <v>8316</v>
      </c>
      <c r="S3999" s="16">
        <f t="shared" si="374"/>
        <v>42069.391446759255</v>
      </c>
      <c r="T3999" s="16">
        <f t="shared" si="375"/>
        <v>42099.349780092598</v>
      </c>
      <c r="U3999">
        <f t="shared" si="376"/>
        <v>30</v>
      </c>
      <c r="V3999">
        <f t="shared" si="377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 s="8">
        <f t="shared" si="373"/>
        <v>59.58</v>
      </c>
      <c r="Q4000" s="10" t="s">
        <v>8315</v>
      </c>
      <c r="R4000" s="10" t="s">
        <v>8316</v>
      </c>
      <c r="S4000" s="16">
        <f t="shared" si="374"/>
        <v>42061.963263888887</v>
      </c>
      <c r="T4000" s="16">
        <f t="shared" si="375"/>
        <v>42091.921597222223</v>
      </c>
      <c r="U4000">
        <f t="shared" si="376"/>
        <v>30</v>
      </c>
      <c r="V4000">
        <f t="shared" si="377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 s="8">
        <f t="shared" si="373"/>
        <v>82.57</v>
      </c>
      <c r="Q4001" s="10" t="s">
        <v>8315</v>
      </c>
      <c r="R4001" s="10" t="s">
        <v>8316</v>
      </c>
      <c r="S4001" s="16">
        <f t="shared" si="374"/>
        <v>41842.828680555554</v>
      </c>
      <c r="T4001" s="16">
        <f t="shared" si="375"/>
        <v>41882.827650462961</v>
      </c>
      <c r="U4001">
        <f t="shared" si="376"/>
        <v>40</v>
      </c>
      <c r="V4001">
        <f t="shared" si="377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 s="8">
        <f t="shared" si="373"/>
        <v>10</v>
      </c>
      <c r="Q4002" s="10" t="s">
        <v>8315</v>
      </c>
      <c r="R4002" s="10" t="s">
        <v>8316</v>
      </c>
      <c r="S4002" s="16">
        <f t="shared" si="374"/>
        <v>42437.64534722222</v>
      </c>
      <c r="T4002" s="16">
        <f t="shared" si="375"/>
        <v>42497.603680555556</v>
      </c>
      <c r="U4002">
        <f t="shared" si="376"/>
        <v>60</v>
      </c>
      <c r="V4002">
        <f t="shared" si="377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 s="8">
        <f t="shared" si="373"/>
        <v>32.36</v>
      </c>
      <c r="Q4003" s="10" t="s">
        <v>8315</v>
      </c>
      <c r="R4003" s="10" t="s">
        <v>8316</v>
      </c>
      <c r="S4003" s="16">
        <f t="shared" si="374"/>
        <v>42775.964212962965</v>
      </c>
      <c r="T4003" s="16">
        <f t="shared" si="375"/>
        <v>42795.791666666672</v>
      </c>
      <c r="U4003">
        <f t="shared" si="376"/>
        <v>20</v>
      </c>
      <c r="V4003">
        <f t="shared" si="377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 s="8">
        <f t="shared" si="373"/>
        <v>5.75</v>
      </c>
      <c r="Q4004" s="10" t="s">
        <v>8315</v>
      </c>
      <c r="R4004" s="10" t="s">
        <v>8316</v>
      </c>
      <c r="S4004" s="16">
        <f t="shared" si="374"/>
        <v>41879.043530092589</v>
      </c>
      <c r="T4004" s="16">
        <f t="shared" si="375"/>
        <v>41909.043530092589</v>
      </c>
      <c r="U4004">
        <f t="shared" si="376"/>
        <v>30</v>
      </c>
      <c r="V4004">
        <f t="shared" si="377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 s="8">
        <f t="shared" si="373"/>
        <v>100.5</v>
      </c>
      <c r="Q4005" s="10" t="s">
        <v>8315</v>
      </c>
      <c r="R4005" s="10" t="s">
        <v>8316</v>
      </c>
      <c r="S4005" s="16">
        <f t="shared" si="374"/>
        <v>42020.587349537032</v>
      </c>
      <c r="T4005" s="16">
        <f t="shared" si="375"/>
        <v>42050.587349537032</v>
      </c>
      <c r="U4005">
        <f t="shared" si="376"/>
        <v>30</v>
      </c>
      <c r="V4005">
        <f t="shared" si="377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 s="8">
        <f t="shared" si="373"/>
        <v>1</v>
      </c>
      <c r="Q4006" s="10" t="s">
        <v>8315</v>
      </c>
      <c r="R4006" s="10" t="s">
        <v>8316</v>
      </c>
      <c r="S4006" s="16">
        <f t="shared" si="374"/>
        <v>41890.16269675926</v>
      </c>
      <c r="T4006" s="16">
        <f t="shared" si="375"/>
        <v>41920.16269675926</v>
      </c>
      <c r="U4006">
        <f t="shared" si="376"/>
        <v>30</v>
      </c>
      <c r="V4006">
        <f t="shared" si="377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 s="8">
        <f t="shared" si="373"/>
        <v>20</v>
      </c>
      <c r="Q4007" s="10" t="s">
        <v>8315</v>
      </c>
      <c r="R4007" s="10" t="s">
        <v>8316</v>
      </c>
      <c r="S4007" s="16">
        <f t="shared" si="374"/>
        <v>41872.807696759257</v>
      </c>
      <c r="T4007" s="16">
        <f t="shared" si="375"/>
        <v>41932.807696759257</v>
      </c>
      <c r="U4007">
        <f t="shared" si="376"/>
        <v>60</v>
      </c>
      <c r="V4007">
        <f t="shared" si="377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 s="8">
        <f t="shared" si="373"/>
        <v>2</v>
      </c>
      <c r="Q4008" s="10" t="s">
        <v>8315</v>
      </c>
      <c r="R4008" s="10" t="s">
        <v>8316</v>
      </c>
      <c r="S4008" s="16">
        <f t="shared" si="374"/>
        <v>42391.772997685184</v>
      </c>
      <c r="T4008" s="16">
        <f t="shared" si="375"/>
        <v>42416.772997685184</v>
      </c>
      <c r="U4008">
        <f t="shared" si="376"/>
        <v>25</v>
      </c>
      <c r="V4008">
        <f t="shared" si="377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 s="8">
        <f t="shared" si="373"/>
        <v>5</v>
      </c>
      <c r="Q4009" s="10" t="s">
        <v>8315</v>
      </c>
      <c r="R4009" s="10" t="s">
        <v>8316</v>
      </c>
      <c r="S4009" s="16">
        <f t="shared" si="374"/>
        <v>41848.772928240738</v>
      </c>
      <c r="T4009" s="16">
        <f t="shared" si="375"/>
        <v>41877.686111111114</v>
      </c>
      <c r="U4009">
        <f t="shared" si="376"/>
        <v>29</v>
      </c>
      <c r="V4009">
        <f t="shared" si="377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 s="8">
        <f t="shared" si="373"/>
        <v>15</v>
      </c>
      <c r="Q4010" s="10" t="s">
        <v>8315</v>
      </c>
      <c r="R4010" s="10" t="s">
        <v>8316</v>
      </c>
      <c r="S4010" s="16">
        <f t="shared" si="374"/>
        <v>42177.964201388888</v>
      </c>
      <c r="T4010" s="16">
        <f t="shared" si="375"/>
        <v>42207.964201388888</v>
      </c>
      <c r="U4010">
        <f t="shared" si="376"/>
        <v>30</v>
      </c>
      <c r="V4010">
        <f t="shared" si="377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 s="8">
        <f t="shared" si="373"/>
        <v>25</v>
      </c>
      <c r="Q4011" s="10" t="s">
        <v>8315</v>
      </c>
      <c r="R4011" s="10" t="s">
        <v>8316</v>
      </c>
      <c r="S4011" s="16">
        <f t="shared" si="374"/>
        <v>41851.700925925928</v>
      </c>
      <c r="T4011" s="16">
        <f t="shared" si="375"/>
        <v>41891.700925925928</v>
      </c>
      <c r="U4011">
        <f t="shared" si="376"/>
        <v>40</v>
      </c>
      <c r="V4011">
        <f t="shared" si="377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 s="8">
        <f t="shared" si="373"/>
        <v>45.84</v>
      </c>
      <c r="Q4012" s="10" t="s">
        <v>8315</v>
      </c>
      <c r="R4012" s="10" t="s">
        <v>8316</v>
      </c>
      <c r="S4012" s="16">
        <f t="shared" si="374"/>
        <v>41921.770439814813</v>
      </c>
      <c r="T4012" s="16">
        <f t="shared" si="375"/>
        <v>41938.770439814813</v>
      </c>
      <c r="U4012">
        <f t="shared" si="376"/>
        <v>17</v>
      </c>
      <c r="V4012">
        <f t="shared" si="377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 s="8">
        <f t="shared" si="373"/>
        <v>4.75</v>
      </c>
      <c r="Q4013" s="10" t="s">
        <v>8315</v>
      </c>
      <c r="R4013" s="10" t="s">
        <v>8316</v>
      </c>
      <c r="S4013" s="16">
        <f t="shared" si="374"/>
        <v>42002.54488425926</v>
      </c>
      <c r="T4013" s="16">
        <f t="shared" si="375"/>
        <v>42032.54488425926</v>
      </c>
      <c r="U4013">
        <f t="shared" si="376"/>
        <v>30</v>
      </c>
      <c r="V4013">
        <f t="shared" si="377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 s="8">
        <f t="shared" si="373"/>
        <v>0</v>
      </c>
      <c r="Q4014" s="10" t="s">
        <v>8315</v>
      </c>
      <c r="R4014" s="10" t="s">
        <v>8316</v>
      </c>
      <c r="S4014" s="16">
        <f t="shared" si="374"/>
        <v>42096.544548611113</v>
      </c>
      <c r="T4014" s="16">
        <f t="shared" si="375"/>
        <v>42126.544548611113</v>
      </c>
      <c r="U4014">
        <f t="shared" si="376"/>
        <v>30</v>
      </c>
      <c r="V4014">
        <f t="shared" si="377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 s="8">
        <f t="shared" si="373"/>
        <v>13</v>
      </c>
      <c r="Q4015" s="10" t="s">
        <v>8315</v>
      </c>
      <c r="R4015" s="10" t="s">
        <v>8316</v>
      </c>
      <c r="S4015" s="16">
        <f t="shared" si="374"/>
        <v>42021.301192129627</v>
      </c>
      <c r="T4015" s="16">
        <f t="shared" si="375"/>
        <v>42051.301192129627</v>
      </c>
      <c r="U4015">
        <f t="shared" si="376"/>
        <v>30</v>
      </c>
      <c r="V4015">
        <f t="shared" si="377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 s="8">
        <f t="shared" si="373"/>
        <v>0</v>
      </c>
      <c r="Q4016" s="10" t="s">
        <v>8315</v>
      </c>
      <c r="R4016" s="10" t="s">
        <v>8316</v>
      </c>
      <c r="S4016" s="16">
        <f t="shared" si="374"/>
        <v>42419.246168981481</v>
      </c>
      <c r="T4016" s="16">
        <f t="shared" si="375"/>
        <v>42434.246168981481</v>
      </c>
      <c r="U4016">
        <f t="shared" si="376"/>
        <v>15</v>
      </c>
      <c r="V4016">
        <f t="shared" si="377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 s="8">
        <f t="shared" si="373"/>
        <v>1</v>
      </c>
      <c r="Q4017" s="10" t="s">
        <v>8315</v>
      </c>
      <c r="R4017" s="10" t="s">
        <v>8316</v>
      </c>
      <c r="S4017" s="16">
        <f t="shared" si="374"/>
        <v>42174.780821759254</v>
      </c>
      <c r="T4017" s="16">
        <f t="shared" si="375"/>
        <v>42204.780821759254</v>
      </c>
      <c r="U4017">
        <f t="shared" si="376"/>
        <v>30</v>
      </c>
      <c r="V4017">
        <f t="shared" si="377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 s="8">
        <f t="shared" si="373"/>
        <v>10</v>
      </c>
      <c r="Q4018" s="10" t="s">
        <v>8315</v>
      </c>
      <c r="R4018" s="10" t="s">
        <v>8316</v>
      </c>
      <c r="S4018" s="16">
        <f t="shared" si="374"/>
        <v>41869.872685185182</v>
      </c>
      <c r="T4018" s="16">
        <f t="shared" si="375"/>
        <v>41899.872685185182</v>
      </c>
      <c r="U4018">
        <f t="shared" si="376"/>
        <v>30</v>
      </c>
      <c r="V4018">
        <f t="shared" si="377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 s="8">
        <f t="shared" si="373"/>
        <v>52.5</v>
      </c>
      <c r="Q4019" s="10" t="s">
        <v>8315</v>
      </c>
      <c r="R4019" s="10" t="s">
        <v>8316</v>
      </c>
      <c r="S4019" s="16">
        <f t="shared" si="374"/>
        <v>41856.672152777777</v>
      </c>
      <c r="T4019" s="16">
        <f t="shared" si="375"/>
        <v>41886.672152777777</v>
      </c>
      <c r="U4019">
        <f t="shared" si="376"/>
        <v>30</v>
      </c>
      <c r="V4019">
        <f t="shared" si="377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 s="8">
        <f t="shared" si="373"/>
        <v>32.5</v>
      </c>
      <c r="Q4020" s="10" t="s">
        <v>8315</v>
      </c>
      <c r="R4020" s="10" t="s">
        <v>8316</v>
      </c>
      <c r="S4020" s="16">
        <f t="shared" si="374"/>
        <v>42620.91097222222</v>
      </c>
      <c r="T4020" s="16">
        <f t="shared" si="375"/>
        <v>42650.91097222222</v>
      </c>
      <c r="U4020">
        <f t="shared" si="376"/>
        <v>30</v>
      </c>
      <c r="V4020">
        <f t="shared" si="377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 s="8">
        <f t="shared" si="373"/>
        <v>7.25</v>
      </c>
      <c r="Q4021" s="10" t="s">
        <v>8315</v>
      </c>
      <c r="R4021" s="10" t="s">
        <v>8316</v>
      </c>
      <c r="S4021" s="16">
        <f t="shared" si="374"/>
        <v>42417.675879629634</v>
      </c>
      <c r="T4021" s="16">
        <f t="shared" si="375"/>
        <v>42475.686111111107</v>
      </c>
      <c r="U4021">
        <f t="shared" si="376"/>
        <v>58</v>
      </c>
      <c r="V4021">
        <f t="shared" si="377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 s="8">
        <f t="shared" si="373"/>
        <v>33.33</v>
      </c>
      <c r="Q4022" s="10" t="s">
        <v>8315</v>
      </c>
      <c r="R4022" s="10" t="s">
        <v>8316</v>
      </c>
      <c r="S4022" s="16">
        <f t="shared" si="374"/>
        <v>42057.190960648149</v>
      </c>
      <c r="T4022" s="16">
        <f t="shared" si="375"/>
        <v>42087.149293981478</v>
      </c>
      <c r="U4022">
        <f t="shared" si="376"/>
        <v>30</v>
      </c>
      <c r="V4022">
        <f t="shared" si="377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 s="8">
        <f t="shared" si="373"/>
        <v>62.5</v>
      </c>
      <c r="Q4023" s="10" t="s">
        <v>8315</v>
      </c>
      <c r="R4023" s="10" t="s">
        <v>8316</v>
      </c>
      <c r="S4023" s="16">
        <f t="shared" si="374"/>
        <v>41878.911550925928</v>
      </c>
      <c r="T4023" s="16">
        <f t="shared" si="375"/>
        <v>41938.911550925928</v>
      </c>
      <c r="U4023">
        <f t="shared" si="376"/>
        <v>60</v>
      </c>
      <c r="V4023">
        <f t="shared" si="377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 s="8">
        <f t="shared" si="373"/>
        <v>63.56</v>
      </c>
      <c r="Q4024" s="10" t="s">
        <v>8315</v>
      </c>
      <c r="R4024" s="10" t="s">
        <v>8316</v>
      </c>
      <c r="S4024" s="16">
        <f t="shared" si="374"/>
        <v>41990.584108796291</v>
      </c>
      <c r="T4024" s="16">
        <f t="shared" si="375"/>
        <v>42036.120833333334</v>
      </c>
      <c r="U4024">
        <f t="shared" si="376"/>
        <v>46</v>
      </c>
      <c r="V4024">
        <f t="shared" si="377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s="8">
        <f t="shared" si="373"/>
        <v>0</v>
      </c>
      <c r="Q4025" s="10" t="s">
        <v>8315</v>
      </c>
      <c r="R4025" s="10" t="s">
        <v>8316</v>
      </c>
      <c r="S4025" s="16">
        <f t="shared" si="374"/>
        <v>42408.999571759254</v>
      </c>
      <c r="T4025" s="16">
        <f t="shared" si="375"/>
        <v>42453.957905092597</v>
      </c>
      <c r="U4025">
        <f t="shared" si="376"/>
        <v>45</v>
      </c>
      <c r="V4025">
        <f t="shared" si="377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 s="8">
        <f t="shared" si="373"/>
        <v>10</v>
      </c>
      <c r="Q4026" s="10" t="s">
        <v>8315</v>
      </c>
      <c r="R4026" s="10" t="s">
        <v>8316</v>
      </c>
      <c r="S4026" s="16">
        <f t="shared" si="374"/>
        <v>42217.670104166667</v>
      </c>
      <c r="T4026" s="16">
        <f t="shared" si="375"/>
        <v>42247.670104166667</v>
      </c>
      <c r="U4026">
        <f t="shared" si="376"/>
        <v>30</v>
      </c>
      <c r="V4026">
        <f t="shared" si="377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 s="8">
        <f t="shared" si="373"/>
        <v>62.5</v>
      </c>
      <c r="Q4027" s="10" t="s">
        <v>8315</v>
      </c>
      <c r="R4027" s="10" t="s">
        <v>8316</v>
      </c>
      <c r="S4027" s="16">
        <f t="shared" si="374"/>
        <v>42151.237685185188</v>
      </c>
      <c r="T4027" s="16">
        <f t="shared" si="375"/>
        <v>42211.237685185188</v>
      </c>
      <c r="U4027">
        <f t="shared" si="376"/>
        <v>60</v>
      </c>
      <c r="V4027">
        <f t="shared" si="377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s="8">
        <f t="shared" si="373"/>
        <v>0</v>
      </c>
      <c r="Q4028" s="10" t="s">
        <v>8315</v>
      </c>
      <c r="R4028" s="10" t="s">
        <v>8316</v>
      </c>
      <c r="S4028" s="16">
        <f t="shared" si="374"/>
        <v>42282.655543981484</v>
      </c>
      <c r="T4028" s="16">
        <f t="shared" si="375"/>
        <v>42342.697210648148</v>
      </c>
      <c r="U4028">
        <f t="shared" si="376"/>
        <v>60</v>
      </c>
      <c r="V4028">
        <f t="shared" si="377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 s="8">
        <f t="shared" si="373"/>
        <v>30.71</v>
      </c>
      <c r="Q4029" s="10" t="s">
        <v>8315</v>
      </c>
      <c r="R4029" s="10" t="s">
        <v>8316</v>
      </c>
      <c r="S4029" s="16">
        <f t="shared" si="374"/>
        <v>42768.97084490741</v>
      </c>
      <c r="T4029" s="16">
        <f t="shared" si="375"/>
        <v>42789.041666666672</v>
      </c>
      <c r="U4029">
        <f t="shared" si="376"/>
        <v>20</v>
      </c>
      <c r="V4029">
        <f t="shared" si="377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 s="8">
        <f t="shared" si="373"/>
        <v>51</v>
      </c>
      <c r="Q4030" s="10" t="s">
        <v>8315</v>
      </c>
      <c r="R4030" s="10" t="s">
        <v>8316</v>
      </c>
      <c r="S4030" s="16">
        <f t="shared" si="374"/>
        <v>41765.938657407409</v>
      </c>
      <c r="T4030" s="16">
        <f t="shared" si="375"/>
        <v>41795.938657407409</v>
      </c>
      <c r="U4030">
        <f t="shared" si="376"/>
        <v>30</v>
      </c>
      <c r="V4030">
        <f t="shared" si="377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s="8">
        <f t="shared" si="373"/>
        <v>0</v>
      </c>
      <c r="Q4031" s="10" t="s">
        <v>8315</v>
      </c>
      <c r="R4031" s="10" t="s">
        <v>8316</v>
      </c>
      <c r="S4031" s="16">
        <f t="shared" si="374"/>
        <v>42322.025115740747</v>
      </c>
      <c r="T4031" s="16">
        <f t="shared" si="375"/>
        <v>42352.025115740747</v>
      </c>
      <c r="U4031">
        <f t="shared" si="376"/>
        <v>30</v>
      </c>
      <c r="V4031">
        <f t="shared" si="377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 s="8">
        <f t="shared" si="373"/>
        <v>66.67</v>
      </c>
      <c r="Q4032" s="10" t="s">
        <v>8315</v>
      </c>
      <c r="R4032" s="10" t="s">
        <v>8316</v>
      </c>
      <c r="S4032" s="16">
        <f t="shared" si="374"/>
        <v>42374.655081018514</v>
      </c>
      <c r="T4032" s="16">
        <f t="shared" si="375"/>
        <v>42403.784027777772</v>
      </c>
      <c r="U4032">
        <f t="shared" si="376"/>
        <v>29</v>
      </c>
      <c r="V4032">
        <f t="shared" si="377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s="8">
        <f t="shared" si="373"/>
        <v>0</v>
      </c>
      <c r="Q4033" s="10" t="s">
        <v>8315</v>
      </c>
      <c r="R4033" s="10" t="s">
        <v>8316</v>
      </c>
      <c r="S4033" s="16">
        <f t="shared" si="374"/>
        <v>41941.585231481484</v>
      </c>
      <c r="T4033" s="16">
        <f t="shared" si="375"/>
        <v>41991.626898148148</v>
      </c>
      <c r="U4033">
        <f t="shared" si="376"/>
        <v>50</v>
      </c>
      <c r="V4033">
        <f t="shared" si="377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ROUND((E4034/D4034)*100, 0)</f>
        <v>7</v>
      </c>
      <c r="P4034" s="8">
        <f t="shared" ref="P4034:P4097" si="379">IFERROR(ROUND(E4034/L4034, 2), 0)</f>
        <v>59</v>
      </c>
      <c r="Q4034" s="10" t="s">
        <v>8315</v>
      </c>
      <c r="R4034" s="10" t="s">
        <v>8316</v>
      </c>
      <c r="S4034" s="16">
        <f t="shared" ref="S4034:S4097" si="380">(J4034/60/60/24)+DATE(1970, 1, 1)</f>
        <v>42293.809212962966</v>
      </c>
      <c r="T4034" s="16">
        <f t="shared" ref="T4034:T4097" si="381">(I4034/60/60/24)+DATE(1970, 1, 1)</f>
        <v>42353.85087962963</v>
      </c>
      <c r="U4034">
        <f t="shared" si="376"/>
        <v>60</v>
      </c>
      <c r="V4034">
        <f t="shared" si="377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 s="8">
        <f t="shared" si="379"/>
        <v>65.34</v>
      </c>
      <c r="Q4035" s="10" t="s">
        <v>8315</v>
      </c>
      <c r="R4035" s="10" t="s">
        <v>8316</v>
      </c>
      <c r="S4035" s="16">
        <f t="shared" si="380"/>
        <v>42614.268796296295</v>
      </c>
      <c r="T4035" s="16">
        <f t="shared" si="381"/>
        <v>42645.375</v>
      </c>
      <c r="U4035">
        <f t="shared" ref="U4035:U4098" si="382">ROUND(T4035-S4035, 0)</f>
        <v>31</v>
      </c>
      <c r="V4035">
        <f t="shared" ref="V4035:V4098" si="383">YEAR($S4035)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 s="8">
        <f t="shared" si="379"/>
        <v>100</v>
      </c>
      <c r="Q4036" s="10" t="s">
        <v>8315</v>
      </c>
      <c r="R4036" s="10" t="s">
        <v>8316</v>
      </c>
      <c r="S4036" s="16">
        <f t="shared" si="380"/>
        <v>42067.947337962964</v>
      </c>
      <c r="T4036" s="16">
        <f t="shared" si="381"/>
        <v>42097.905671296292</v>
      </c>
      <c r="U4036">
        <f t="shared" si="382"/>
        <v>30</v>
      </c>
      <c r="V4036">
        <f t="shared" si="383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 s="8">
        <f t="shared" si="379"/>
        <v>147.4</v>
      </c>
      <c r="Q4037" s="10" t="s">
        <v>8315</v>
      </c>
      <c r="R4037" s="10" t="s">
        <v>8316</v>
      </c>
      <c r="S4037" s="16">
        <f t="shared" si="380"/>
        <v>41903.882951388885</v>
      </c>
      <c r="T4037" s="16">
        <f t="shared" si="381"/>
        <v>41933.882951388885</v>
      </c>
      <c r="U4037">
        <f t="shared" si="382"/>
        <v>30</v>
      </c>
      <c r="V4037">
        <f t="shared" si="383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 s="8">
        <f t="shared" si="379"/>
        <v>166.06</v>
      </c>
      <c r="Q4038" s="10" t="s">
        <v>8315</v>
      </c>
      <c r="R4038" s="10" t="s">
        <v>8316</v>
      </c>
      <c r="S4038" s="16">
        <f t="shared" si="380"/>
        <v>41804.937083333331</v>
      </c>
      <c r="T4038" s="16">
        <f t="shared" si="381"/>
        <v>41821.9375</v>
      </c>
      <c r="U4038">
        <f t="shared" si="382"/>
        <v>17</v>
      </c>
      <c r="V4038">
        <f t="shared" si="383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 s="8">
        <f t="shared" si="379"/>
        <v>40</v>
      </c>
      <c r="Q4039" s="10" t="s">
        <v>8315</v>
      </c>
      <c r="R4039" s="10" t="s">
        <v>8316</v>
      </c>
      <c r="S4039" s="16">
        <f t="shared" si="380"/>
        <v>42497.070775462969</v>
      </c>
      <c r="T4039" s="16">
        <f t="shared" si="381"/>
        <v>42514.600694444445</v>
      </c>
      <c r="U4039">
        <f t="shared" si="382"/>
        <v>18</v>
      </c>
      <c r="V4039">
        <f t="shared" si="383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 s="8">
        <f t="shared" si="379"/>
        <v>75.25</v>
      </c>
      <c r="Q4040" s="10" t="s">
        <v>8315</v>
      </c>
      <c r="R4040" s="10" t="s">
        <v>8316</v>
      </c>
      <c r="S4040" s="16">
        <f t="shared" si="380"/>
        <v>41869.798726851855</v>
      </c>
      <c r="T4040" s="16">
        <f t="shared" si="381"/>
        <v>41929.798726851855</v>
      </c>
      <c r="U4040">
        <f t="shared" si="382"/>
        <v>60</v>
      </c>
      <c r="V4040">
        <f t="shared" si="383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 s="8">
        <f t="shared" si="379"/>
        <v>60</v>
      </c>
      <c r="Q4041" s="10" t="s">
        <v>8315</v>
      </c>
      <c r="R4041" s="10" t="s">
        <v>8316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34</v>
      </c>
      <c r="V4041">
        <f t="shared" si="383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 s="8">
        <f t="shared" si="379"/>
        <v>1250</v>
      </c>
      <c r="Q4042" s="10" t="s">
        <v>8315</v>
      </c>
      <c r="R4042" s="10" t="s">
        <v>8316</v>
      </c>
      <c r="S4042" s="16">
        <f t="shared" si="380"/>
        <v>42144.231527777782</v>
      </c>
      <c r="T4042" s="16">
        <f t="shared" si="381"/>
        <v>42203.125</v>
      </c>
      <c r="U4042">
        <f t="shared" si="382"/>
        <v>59</v>
      </c>
      <c r="V4042">
        <f t="shared" si="383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 s="8">
        <f t="shared" si="379"/>
        <v>10.5</v>
      </c>
      <c r="Q4043" s="10" t="s">
        <v>8315</v>
      </c>
      <c r="R4043" s="10" t="s">
        <v>8316</v>
      </c>
      <c r="S4043" s="16">
        <f t="shared" si="380"/>
        <v>42559.474004629628</v>
      </c>
      <c r="T4043" s="16">
        <f t="shared" si="381"/>
        <v>42619.474004629628</v>
      </c>
      <c r="U4043">
        <f t="shared" si="382"/>
        <v>60</v>
      </c>
      <c r="V4043">
        <f t="shared" si="383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 s="8">
        <f t="shared" si="379"/>
        <v>7</v>
      </c>
      <c r="Q4044" s="10" t="s">
        <v>8315</v>
      </c>
      <c r="R4044" s="10" t="s">
        <v>8316</v>
      </c>
      <c r="S4044" s="16">
        <f t="shared" si="380"/>
        <v>41995.084074074075</v>
      </c>
      <c r="T4044" s="16">
        <f t="shared" si="381"/>
        <v>42024.802777777775</v>
      </c>
      <c r="U4044">
        <f t="shared" si="382"/>
        <v>30</v>
      </c>
      <c r="V4044">
        <f t="shared" si="383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 s="8">
        <f t="shared" si="379"/>
        <v>0</v>
      </c>
      <c r="Q4045" s="10" t="s">
        <v>8315</v>
      </c>
      <c r="R4045" s="10" t="s">
        <v>8316</v>
      </c>
      <c r="S4045" s="16">
        <f t="shared" si="380"/>
        <v>41948.957465277781</v>
      </c>
      <c r="T4045" s="16">
        <f t="shared" si="381"/>
        <v>41963.957465277781</v>
      </c>
      <c r="U4045">
        <f t="shared" si="382"/>
        <v>15</v>
      </c>
      <c r="V4045">
        <f t="shared" si="383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 s="8">
        <f t="shared" si="379"/>
        <v>56.25</v>
      </c>
      <c r="Q4046" s="10" t="s">
        <v>8315</v>
      </c>
      <c r="R4046" s="10" t="s">
        <v>8316</v>
      </c>
      <c r="S4046" s="16">
        <f t="shared" si="380"/>
        <v>42074.219699074078</v>
      </c>
      <c r="T4046" s="16">
        <f t="shared" si="381"/>
        <v>42104.208333333328</v>
      </c>
      <c r="U4046">
        <f t="shared" si="382"/>
        <v>30</v>
      </c>
      <c r="V4046">
        <f t="shared" si="383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 s="8">
        <f t="shared" si="379"/>
        <v>1</v>
      </c>
      <c r="Q4047" s="10" t="s">
        <v>8315</v>
      </c>
      <c r="R4047" s="10" t="s">
        <v>8316</v>
      </c>
      <c r="S4047" s="16">
        <f t="shared" si="380"/>
        <v>41842.201261574075</v>
      </c>
      <c r="T4047" s="16">
        <f t="shared" si="381"/>
        <v>41872.201261574075</v>
      </c>
      <c r="U4047">
        <f t="shared" si="382"/>
        <v>30</v>
      </c>
      <c r="V4047">
        <f t="shared" si="383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 s="8">
        <f t="shared" si="379"/>
        <v>38.33</v>
      </c>
      <c r="Q4048" s="10" t="s">
        <v>8315</v>
      </c>
      <c r="R4048" s="10" t="s">
        <v>8316</v>
      </c>
      <c r="S4048" s="16">
        <f t="shared" si="380"/>
        <v>41904.650578703702</v>
      </c>
      <c r="T4048" s="16">
        <f t="shared" si="381"/>
        <v>41934.650578703702</v>
      </c>
      <c r="U4048">
        <f t="shared" si="382"/>
        <v>30</v>
      </c>
      <c r="V4048">
        <f t="shared" si="383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 s="8">
        <f t="shared" si="379"/>
        <v>27.5</v>
      </c>
      <c r="Q4049" s="10" t="s">
        <v>8315</v>
      </c>
      <c r="R4049" s="10" t="s">
        <v>8316</v>
      </c>
      <c r="S4049" s="16">
        <f t="shared" si="380"/>
        <v>41991.022488425922</v>
      </c>
      <c r="T4049" s="16">
        <f t="shared" si="381"/>
        <v>42015.041666666672</v>
      </c>
      <c r="U4049">
        <f t="shared" si="382"/>
        <v>24</v>
      </c>
      <c r="V4049">
        <f t="shared" si="383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 s="8">
        <f t="shared" si="379"/>
        <v>32.979999999999997</v>
      </c>
      <c r="Q4050" s="10" t="s">
        <v>8315</v>
      </c>
      <c r="R4050" s="10" t="s">
        <v>8316</v>
      </c>
      <c r="S4050" s="16">
        <f t="shared" si="380"/>
        <v>42436.509108796294</v>
      </c>
      <c r="T4050" s="16">
        <f t="shared" si="381"/>
        <v>42471.467442129629</v>
      </c>
      <c r="U4050">
        <f t="shared" si="382"/>
        <v>35</v>
      </c>
      <c r="V4050">
        <f t="shared" si="383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 s="8">
        <f t="shared" si="379"/>
        <v>16</v>
      </c>
      <c r="Q4051" s="10" t="s">
        <v>8315</v>
      </c>
      <c r="R4051" s="10" t="s">
        <v>8316</v>
      </c>
      <c r="S4051" s="16">
        <f t="shared" si="380"/>
        <v>42169.958506944444</v>
      </c>
      <c r="T4051" s="16">
        <f t="shared" si="381"/>
        <v>42199.958506944444</v>
      </c>
      <c r="U4051">
        <f t="shared" si="382"/>
        <v>30</v>
      </c>
      <c r="V4051">
        <f t="shared" si="383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 s="8">
        <f t="shared" si="379"/>
        <v>1</v>
      </c>
      <c r="Q4052" s="10" t="s">
        <v>8315</v>
      </c>
      <c r="R4052" s="10" t="s">
        <v>8316</v>
      </c>
      <c r="S4052" s="16">
        <f t="shared" si="380"/>
        <v>41905.636469907404</v>
      </c>
      <c r="T4052" s="16">
        <f t="shared" si="381"/>
        <v>41935.636469907404</v>
      </c>
      <c r="U4052">
        <f t="shared" si="382"/>
        <v>30</v>
      </c>
      <c r="V4052">
        <f t="shared" si="383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 s="8">
        <f t="shared" si="379"/>
        <v>0</v>
      </c>
      <c r="Q4053" s="10" t="s">
        <v>8315</v>
      </c>
      <c r="R4053" s="10" t="s">
        <v>8316</v>
      </c>
      <c r="S4053" s="16">
        <f t="shared" si="380"/>
        <v>41761.810150462967</v>
      </c>
      <c r="T4053" s="16">
        <f t="shared" si="381"/>
        <v>41768.286805555559</v>
      </c>
      <c r="U4053">
        <f t="shared" si="382"/>
        <v>6</v>
      </c>
      <c r="V4053">
        <f t="shared" si="383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 s="8">
        <f t="shared" si="379"/>
        <v>86.62</v>
      </c>
      <c r="Q4054" s="10" t="s">
        <v>8315</v>
      </c>
      <c r="R4054" s="10" t="s">
        <v>8316</v>
      </c>
      <c r="S4054" s="16">
        <f t="shared" si="380"/>
        <v>41865.878657407404</v>
      </c>
      <c r="T4054" s="16">
        <f t="shared" si="381"/>
        <v>41925.878657407404</v>
      </c>
      <c r="U4054">
        <f t="shared" si="382"/>
        <v>60</v>
      </c>
      <c r="V4054">
        <f t="shared" si="383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 s="8">
        <f t="shared" si="379"/>
        <v>55</v>
      </c>
      <c r="Q4055" s="10" t="s">
        <v>8315</v>
      </c>
      <c r="R4055" s="10" t="s">
        <v>8316</v>
      </c>
      <c r="S4055" s="16">
        <f t="shared" si="380"/>
        <v>41928.690138888887</v>
      </c>
      <c r="T4055" s="16">
        <f t="shared" si="381"/>
        <v>41958.833333333328</v>
      </c>
      <c r="U4055">
        <f t="shared" si="382"/>
        <v>30</v>
      </c>
      <c r="V4055">
        <f t="shared" si="383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 s="8">
        <f t="shared" si="379"/>
        <v>0</v>
      </c>
      <c r="Q4056" s="10" t="s">
        <v>8315</v>
      </c>
      <c r="R4056" s="10" t="s">
        <v>8316</v>
      </c>
      <c r="S4056" s="16">
        <f t="shared" si="380"/>
        <v>42613.841261574074</v>
      </c>
      <c r="T4056" s="16">
        <f t="shared" si="381"/>
        <v>42644.166666666672</v>
      </c>
      <c r="U4056">
        <f t="shared" si="382"/>
        <v>30</v>
      </c>
      <c r="V4056">
        <f t="shared" si="383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 s="8">
        <f t="shared" si="379"/>
        <v>41.95</v>
      </c>
      <c r="Q4057" s="10" t="s">
        <v>8315</v>
      </c>
      <c r="R4057" s="10" t="s">
        <v>8316</v>
      </c>
      <c r="S4057" s="16">
        <f t="shared" si="380"/>
        <v>41779.648506944446</v>
      </c>
      <c r="T4057" s="16">
        <f t="shared" si="381"/>
        <v>41809.648506944446</v>
      </c>
      <c r="U4057">
        <f t="shared" si="382"/>
        <v>30</v>
      </c>
      <c r="V4057">
        <f t="shared" si="383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 s="8">
        <f t="shared" si="379"/>
        <v>88.33</v>
      </c>
      <c r="Q4058" s="10" t="s">
        <v>8315</v>
      </c>
      <c r="R4058" s="10" t="s">
        <v>8316</v>
      </c>
      <c r="S4058" s="16">
        <f t="shared" si="380"/>
        <v>42534.933321759265</v>
      </c>
      <c r="T4058" s="16">
        <f t="shared" si="381"/>
        <v>42554.832638888889</v>
      </c>
      <c r="U4058">
        <f t="shared" si="382"/>
        <v>20</v>
      </c>
      <c r="V4058">
        <f t="shared" si="383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 s="8">
        <f t="shared" si="379"/>
        <v>129.16999999999999</v>
      </c>
      <c r="Q4059" s="10" t="s">
        <v>8315</v>
      </c>
      <c r="R4059" s="10" t="s">
        <v>8316</v>
      </c>
      <c r="S4059" s="16">
        <f t="shared" si="380"/>
        <v>42310.968518518523</v>
      </c>
      <c r="T4059" s="16">
        <f t="shared" si="381"/>
        <v>42333.958333333328</v>
      </c>
      <c r="U4059">
        <f t="shared" si="382"/>
        <v>23</v>
      </c>
      <c r="V4059">
        <f t="shared" si="383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 s="8">
        <f t="shared" si="379"/>
        <v>23.75</v>
      </c>
      <c r="Q4060" s="10" t="s">
        <v>8315</v>
      </c>
      <c r="R4060" s="10" t="s">
        <v>8316</v>
      </c>
      <c r="S4060" s="16">
        <f t="shared" si="380"/>
        <v>42446.060694444444</v>
      </c>
      <c r="T4060" s="16">
        <f t="shared" si="381"/>
        <v>42461.165972222225</v>
      </c>
      <c r="U4060">
        <f t="shared" si="382"/>
        <v>15</v>
      </c>
      <c r="V4060">
        <f t="shared" si="383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 s="8">
        <f t="shared" si="379"/>
        <v>35.71</v>
      </c>
      <c r="Q4061" s="10" t="s">
        <v>8315</v>
      </c>
      <c r="R4061" s="10" t="s">
        <v>8316</v>
      </c>
      <c r="S4061" s="16">
        <f t="shared" si="380"/>
        <v>41866.640648148146</v>
      </c>
      <c r="T4061" s="16">
        <f t="shared" si="381"/>
        <v>41898.125</v>
      </c>
      <c r="U4061">
        <f t="shared" si="382"/>
        <v>31</v>
      </c>
      <c r="V4061">
        <f t="shared" si="383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 s="8">
        <f t="shared" si="379"/>
        <v>57</v>
      </c>
      <c r="Q4062" s="10" t="s">
        <v>8315</v>
      </c>
      <c r="R4062" s="10" t="s">
        <v>8316</v>
      </c>
      <c r="S4062" s="16">
        <f t="shared" si="380"/>
        <v>41779.695092592592</v>
      </c>
      <c r="T4062" s="16">
        <f t="shared" si="381"/>
        <v>41813.666666666664</v>
      </c>
      <c r="U4062">
        <f t="shared" si="382"/>
        <v>34</v>
      </c>
      <c r="V4062">
        <f t="shared" si="383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s="8">
        <f t="shared" si="379"/>
        <v>0</v>
      </c>
      <c r="Q4063" s="10" t="s">
        <v>8315</v>
      </c>
      <c r="R4063" s="10" t="s">
        <v>8316</v>
      </c>
      <c r="S4063" s="16">
        <f t="shared" si="380"/>
        <v>42421.141469907408</v>
      </c>
      <c r="T4063" s="16">
        <f t="shared" si="381"/>
        <v>42481.099803240737</v>
      </c>
      <c r="U4063">
        <f t="shared" si="382"/>
        <v>60</v>
      </c>
      <c r="V4063">
        <f t="shared" si="383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 s="8">
        <f t="shared" si="379"/>
        <v>163.33000000000001</v>
      </c>
      <c r="Q4064" s="10" t="s">
        <v>8315</v>
      </c>
      <c r="R4064" s="10" t="s">
        <v>8316</v>
      </c>
      <c r="S4064" s="16">
        <f t="shared" si="380"/>
        <v>42523.739212962959</v>
      </c>
      <c r="T4064" s="16">
        <f t="shared" si="381"/>
        <v>42553.739212962959</v>
      </c>
      <c r="U4064">
        <f t="shared" si="382"/>
        <v>30</v>
      </c>
      <c r="V4064">
        <f t="shared" si="383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 s="8">
        <f t="shared" si="379"/>
        <v>15</v>
      </c>
      <c r="Q4065" s="10" t="s">
        <v>8315</v>
      </c>
      <c r="R4065" s="10" t="s">
        <v>8316</v>
      </c>
      <c r="S4065" s="16">
        <f t="shared" si="380"/>
        <v>41787.681527777779</v>
      </c>
      <c r="T4065" s="16">
        <f t="shared" si="381"/>
        <v>41817.681527777779</v>
      </c>
      <c r="U4065">
        <f t="shared" si="382"/>
        <v>30</v>
      </c>
      <c r="V4065">
        <f t="shared" si="383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 s="8">
        <f t="shared" si="379"/>
        <v>64.17</v>
      </c>
      <c r="Q4066" s="10" t="s">
        <v>8315</v>
      </c>
      <c r="R4066" s="10" t="s">
        <v>8316</v>
      </c>
      <c r="S4066" s="16">
        <f t="shared" si="380"/>
        <v>42093.588263888887</v>
      </c>
      <c r="T4066" s="16">
        <f t="shared" si="381"/>
        <v>42123.588263888887</v>
      </c>
      <c r="U4066">
        <f t="shared" si="382"/>
        <v>30</v>
      </c>
      <c r="V4066">
        <f t="shared" si="383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 s="8">
        <f t="shared" si="379"/>
        <v>6.75</v>
      </c>
      <c r="Q4067" s="10" t="s">
        <v>8315</v>
      </c>
      <c r="R4067" s="10" t="s">
        <v>8316</v>
      </c>
      <c r="S4067" s="16">
        <f t="shared" si="380"/>
        <v>41833.951516203706</v>
      </c>
      <c r="T4067" s="16">
        <f t="shared" si="381"/>
        <v>41863.951516203706</v>
      </c>
      <c r="U4067">
        <f t="shared" si="382"/>
        <v>30</v>
      </c>
      <c r="V4067">
        <f t="shared" si="383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 s="8">
        <f t="shared" si="379"/>
        <v>25</v>
      </c>
      <c r="Q4068" s="10" t="s">
        <v>8315</v>
      </c>
      <c r="R4068" s="10" t="s">
        <v>8316</v>
      </c>
      <c r="S4068" s="16">
        <f t="shared" si="380"/>
        <v>42479.039212962962</v>
      </c>
      <c r="T4068" s="16">
        <f t="shared" si="381"/>
        <v>42509.039212962962</v>
      </c>
      <c r="U4068">
        <f t="shared" si="382"/>
        <v>30</v>
      </c>
      <c r="V4068">
        <f t="shared" si="383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 s="8">
        <f t="shared" si="379"/>
        <v>179.12</v>
      </c>
      <c r="Q4069" s="10" t="s">
        <v>8315</v>
      </c>
      <c r="R4069" s="10" t="s">
        <v>8316</v>
      </c>
      <c r="S4069" s="16">
        <f t="shared" si="380"/>
        <v>42235.117476851854</v>
      </c>
      <c r="T4069" s="16">
        <f t="shared" si="381"/>
        <v>42275.117476851854</v>
      </c>
      <c r="U4069">
        <f t="shared" si="382"/>
        <v>40</v>
      </c>
      <c r="V4069">
        <f t="shared" si="383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 s="8">
        <f t="shared" si="379"/>
        <v>34.950000000000003</v>
      </c>
      <c r="Q4070" s="10" t="s">
        <v>8315</v>
      </c>
      <c r="R4070" s="10" t="s">
        <v>8316</v>
      </c>
      <c r="S4070" s="16">
        <f t="shared" si="380"/>
        <v>42718.963599537034</v>
      </c>
      <c r="T4070" s="16">
        <f t="shared" si="381"/>
        <v>42748.961805555555</v>
      </c>
      <c r="U4070">
        <f t="shared" si="382"/>
        <v>30</v>
      </c>
      <c r="V4070">
        <f t="shared" si="383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 s="8">
        <f t="shared" si="379"/>
        <v>33.08</v>
      </c>
      <c r="Q4071" s="10" t="s">
        <v>8315</v>
      </c>
      <c r="R4071" s="10" t="s">
        <v>8316</v>
      </c>
      <c r="S4071" s="16">
        <f t="shared" si="380"/>
        <v>42022.661527777775</v>
      </c>
      <c r="T4071" s="16">
        <f t="shared" si="381"/>
        <v>42063.5</v>
      </c>
      <c r="U4071">
        <f t="shared" si="382"/>
        <v>41</v>
      </c>
      <c r="V4071">
        <f t="shared" si="383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 s="8">
        <f t="shared" si="379"/>
        <v>27.5</v>
      </c>
      <c r="Q4072" s="10" t="s">
        <v>8315</v>
      </c>
      <c r="R4072" s="10" t="s">
        <v>8316</v>
      </c>
      <c r="S4072" s="16">
        <f t="shared" si="380"/>
        <v>42031.666898148149</v>
      </c>
      <c r="T4072" s="16">
        <f t="shared" si="381"/>
        <v>42064.125</v>
      </c>
      <c r="U4072">
        <f t="shared" si="382"/>
        <v>32</v>
      </c>
      <c r="V4072">
        <f t="shared" si="383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 s="8">
        <f t="shared" si="379"/>
        <v>0</v>
      </c>
      <c r="Q4073" s="10" t="s">
        <v>8315</v>
      </c>
      <c r="R4073" s="10" t="s">
        <v>8316</v>
      </c>
      <c r="S4073" s="16">
        <f t="shared" si="380"/>
        <v>42700.804756944446</v>
      </c>
      <c r="T4073" s="16">
        <f t="shared" si="381"/>
        <v>42730.804756944446</v>
      </c>
      <c r="U4073">
        <f t="shared" si="382"/>
        <v>30</v>
      </c>
      <c r="V4073">
        <f t="shared" si="383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 s="8">
        <f t="shared" si="379"/>
        <v>2</v>
      </c>
      <c r="Q4074" s="10" t="s">
        <v>8315</v>
      </c>
      <c r="R4074" s="10" t="s">
        <v>8316</v>
      </c>
      <c r="S4074" s="16">
        <f t="shared" si="380"/>
        <v>41812.77443287037</v>
      </c>
      <c r="T4074" s="16">
        <f t="shared" si="381"/>
        <v>41872.77443287037</v>
      </c>
      <c r="U4074">
        <f t="shared" si="382"/>
        <v>60</v>
      </c>
      <c r="V4074">
        <f t="shared" si="383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 s="8">
        <f t="shared" si="379"/>
        <v>18.5</v>
      </c>
      <c r="Q4075" s="10" t="s">
        <v>8315</v>
      </c>
      <c r="R4075" s="10" t="s">
        <v>8316</v>
      </c>
      <c r="S4075" s="16">
        <f t="shared" si="380"/>
        <v>42078.34520833334</v>
      </c>
      <c r="T4075" s="16">
        <f t="shared" si="381"/>
        <v>42133.166666666672</v>
      </c>
      <c r="U4075">
        <f t="shared" si="382"/>
        <v>55</v>
      </c>
      <c r="V4075">
        <f t="shared" si="383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 s="8">
        <f t="shared" si="379"/>
        <v>35</v>
      </c>
      <c r="Q4076" s="10" t="s">
        <v>8315</v>
      </c>
      <c r="R4076" s="10" t="s">
        <v>8316</v>
      </c>
      <c r="S4076" s="16">
        <f t="shared" si="380"/>
        <v>42283.552951388891</v>
      </c>
      <c r="T4076" s="16">
        <f t="shared" si="381"/>
        <v>42313.594618055555</v>
      </c>
      <c r="U4076">
        <f t="shared" si="382"/>
        <v>30</v>
      </c>
      <c r="V4076">
        <f t="shared" si="383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 s="8">
        <f t="shared" si="379"/>
        <v>44.31</v>
      </c>
      <c r="Q4077" s="10" t="s">
        <v>8315</v>
      </c>
      <c r="R4077" s="10" t="s">
        <v>8316</v>
      </c>
      <c r="S4077" s="16">
        <f t="shared" si="380"/>
        <v>41779.045937499999</v>
      </c>
      <c r="T4077" s="16">
        <f t="shared" si="381"/>
        <v>41820.727777777778</v>
      </c>
      <c r="U4077">
        <f t="shared" si="382"/>
        <v>42</v>
      </c>
      <c r="V4077">
        <f t="shared" si="383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 s="8">
        <f t="shared" si="379"/>
        <v>0</v>
      </c>
      <c r="Q4078" s="10" t="s">
        <v>8315</v>
      </c>
      <c r="R4078" s="10" t="s">
        <v>8316</v>
      </c>
      <c r="S4078" s="16">
        <f t="shared" si="380"/>
        <v>41905.795706018522</v>
      </c>
      <c r="T4078" s="16">
        <f t="shared" si="381"/>
        <v>41933.82708333333</v>
      </c>
      <c r="U4078">
        <f t="shared" si="382"/>
        <v>28</v>
      </c>
      <c r="V4078">
        <f t="shared" si="383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 s="8">
        <f t="shared" si="379"/>
        <v>222.5</v>
      </c>
      <c r="Q4079" s="10" t="s">
        <v>8315</v>
      </c>
      <c r="R4079" s="10" t="s">
        <v>8316</v>
      </c>
      <c r="S4079" s="16">
        <f t="shared" si="380"/>
        <v>42695.7105787037</v>
      </c>
      <c r="T4079" s="16">
        <f t="shared" si="381"/>
        <v>42725.7105787037</v>
      </c>
      <c r="U4079">
        <f t="shared" si="382"/>
        <v>30</v>
      </c>
      <c r="V4079">
        <f t="shared" si="383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s="8">
        <f t="shared" si="379"/>
        <v>0</v>
      </c>
      <c r="Q4080" s="10" t="s">
        <v>8315</v>
      </c>
      <c r="R4080" s="10" t="s">
        <v>8316</v>
      </c>
      <c r="S4080" s="16">
        <f t="shared" si="380"/>
        <v>42732.787523148145</v>
      </c>
      <c r="T4080" s="16">
        <f t="shared" si="381"/>
        <v>42762.787523148145</v>
      </c>
      <c r="U4080">
        <f t="shared" si="382"/>
        <v>30</v>
      </c>
      <c r="V4080">
        <f t="shared" si="383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 s="8">
        <f t="shared" si="379"/>
        <v>5</v>
      </c>
      <c r="Q4081" s="10" t="s">
        <v>8315</v>
      </c>
      <c r="R4081" s="10" t="s">
        <v>8316</v>
      </c>
      <c r="S4081" s="16">
        <f t="shared" si="380"/>
        <v>42510.938900462963</v>
      </c>
      <c r="T4081" s="16">
        <f t="shared" si="381"/>
        <v>42540.938900462963</v>
      </c>
      <c r="U4081">
        <f t="shared" si="382"/>
        <v>30</v>
      </c>
      <c r="V4081">
        <f t="shared" si="383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s="8">
        <f t="shared" si="379"/>
        <v>0</v>
      </c>
      <c r="Q4082" s="10" t="s">
        <v>8315</v>
      </c>
      <c r="R4082" s="10" t="s">
        <v>8316</v>
      </c>
      <c r="S4082" s="16">
        <f t="shared" si="380"/>
        <v>42511.698101851856</v>
      </c>
      <c r="T4082" s="16">
        <f t="shared" si="381"/>
        <v>42535.787500000006</v>
      </c>
      <c r="U4082">
        <f t="shared" si="382"/>
        <v>24</v>
      </c>
      <c r="V4082">
        <f t="shared" si="383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 s="8">
        <f t="shared" si="379"/>
        <v>29.17</v>
      </c>
      <c r="Q4083" s="10" t="s">
        <v>8315</v>
      </c>
      <c r="R4083" s="10" t="s">
        <v>8316</v>
      </c>
      <c r="S4083" s="16">
        <f t="shared" si="380"/>
        <v>42041.581307870365</v>
      </c>
      <c r="T4083" s="16">
        <f t="shared" si="381"/>
        <v>42071.539641203708</v>
      </c>
      <c r="U4083">
        <f t="shared" si="382"/>
        <v>30</v>
      </c>
      <c r="V4083">
        <f t="shared" si="383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 s="8">
        <f t="shared" si="379"/>
        <v>1.5</v>
      </c>
      <c r="Q4084" s="10" t="s">
        <v>8315</v>
      </c>
      <c r="R4084" s="10" t="s">
        <v>8316</v>
      </c>
      <c r="S4084" s="16">
        <f t="shared" si="380"/>
        <v>42307.189270833333</v>
      </c>
      <c r="T4084" s="16">
        <f t="shared" si="381"/>
        <v>42322.958333333328</v>
      </c>
      <c r="U4084">
        <f t="shared" si="382"/>
        <v>16</v>
      </c>
      <c r="V4084">
        <f t="shared" si="383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 s="8">
        <f t="shared" si="379"/>
        <v>126.5</v>
      </c>
      <c r="Q4085" s="10" t="s">
        <v>8315</v>
      </c>
      <c r="R4085" s="10" t="s">
        <v>8316</v>
      </c>
      <c r="S4085" s="16">
        <f t="shared" si="380"/>
        <v>42353.761759259258</v>
      </c>
      <c r="T4085" s="16">
        <f t="shared" si="381"/>
        <v>42383.761759259258</v>
      </c>
      <c r="U4085">
        <f t="shared" si="382"/>
        <v>30</v>
      </c>
      <c r="V4085">
        <f t="shared" si="383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 s="8">
        <f t="shared" si="379"/>
        <v>10</v>
      </c>
      <c r="Q4086" s="10" t="s">
        <v>8315</v>
      </c>
      <c r="R4086" s="10" t="s">
        <v>8316</v>
      </c>
      <c r="S4086" s="16">
        <f t="shared" si="380"/>
        <v>42622.436412037037</v>
      </c>
      <c r="T4086" s="16">
        <f t="shared" si="381"/>
        <v>42652.436412037037</v>
      </c>
      <c r="U4086">
        <f t="shared" si="382"/>
        <v>30</v>
      </c>
      <c r="V4086">
        <f t="shared" si="383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 s="8">
        <f t="shared" si="379"/>
        <v>10</v>
      </c>
      <c r="Q4087" s="10" t="s">
        <v>8315</v>
      </c>
      <c r="R4087" s="10" t="s">
        <v>8316</v>
      </c>
      <c r="S4087" s="16">
        <f t="shared" si="380"/>
        <v>42058.603877314818</v>
      </c>
      <c r="T4087" s="16">
        <f t="shared" si="381"/>
        <v>42087.165972222225</v>
      </c>
      <c r="U4087">
        <f t="shared" si="382"/>
        <v>29</v>
      </c>
      <c r="V4087">
        <f t="shared" si="383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 s="8">
        <f t="shared" si="379"/>
        <v>9.4</v>
      </c>
      <c r="Q4088" s="10" t="s">
        <v>8315</v>
      </c>
      <c r="R4088" s="10" t="s">
        <v>8316</v>
      </c>
      <c r="S4088" s="16">
        <f t="shared" si="380"/>
        <v>42304.940960648149</v>
      </c>
      <c r="T4088" s="16">
        <f t="shared" si="381"/>
        <v>42329.166666666672</v>
      </c>
      <c r="U4088">
        <f t="shared" si="382"/>
        <v>24</v>
      </c>
      <c r="V4088">
        <f t="shared" si="383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s="8">
        <f t="shared" si="379"/>
        <v>0</v>
      </c>
      <c r="Q4089" s="10" t="s">
        <v>8315</v>
      </c>
      <c r="R4089" s="10" t="s">
        <v>8316</v>
      </c>
      <c r="S4089" s="16">
        <f t="shared" si="380"/>
        <v>42538.742893518516</v>
      </c>
      <c r="T4089" s="16">
        <f t="shared" si="381"/>
        <v>42568.742893518516</v>
      </c>
      <c r="U4089">
        <f t="shared" si="382"/>
        <v>30</v>
      </c>
      <c r="V4089">
        <f t="shared" si="383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 s="8">
        <f t="shared" si="379"/>
        <v>72</v>
      </c>
      <c r="Q4090" s="10" t="s">
        <v>8315</v>
      </c>
      <c r="R4090" s="10" t="s">
        <v>8316</v>
      </c>
      <c r="S4090" s="16">
        <f t="shared" si="380"/>
        <v>41990.612546296295</v>
      </c>
      <c r="T4090" s="16">
        <f t="shared" si="381"/>
        <v>42020.434722222228</v>
      </c>
      <c r="U4090">
        <f t="shared" si="382"/>
        <v>30</v>
      </c>
      <c r="V4090">
        <f t="shared" si="383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 s="8">
        <f t="shared" si="379"/>
        <v>30</v>
      </c>
      <c r="Q4091" s="10" t="s">
        <v>8315</v>
      </c>
      <c r="R4091" s="10" t="s">
        <v>8316</v>
      </c>
      <c r="S4091" s="16">
        <f t="shared" si="380"/>
        <v>42122.732499999998</v>
      </c>
      <c r="T4091" s="16">
        <f t="shared" si="381"/>
        <v>42155.732638888891</v>
      </c>
      <c r="U4091">
        <f t="shared" si="382"/>
        <v>33</v>
      </c>
      <c r="V4091">
        <f t="shared" si="383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 s="8">
        <f t="shared" si="379"/>
        <v>10.67</v>
      </c>
      <c r="Q4092" s="10" t="s">
        <v>8315</v>
      </c>
      <c r="R4092" s="10" t="s">
        <v>8316</v>
      </c>
      <c r="S4092" s="16">
        <f t="shared" si="380"/>
        <v>42209.67288194444</v>
      </c>
      <c r="T4092" s="16">
        <f t="shared" si="381"/>
        <v>42223.625</v>
      </c>
      <c r="U4092">
        <f t="shared" si="382"/>
        <v>14</v>
      </c>
      <c r="V4092">
        <f t="shared" si="383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 s="8">
        <f t="shared" si="379"/>
        <v>25.5</v>
      </c>
      <c r="Q4093" s="10" t="s">
        <v>8315</v>
      </c>
      <c r="R4093" s="10" t="s">
        <v>8316</v>
      </c>
      <c r="S4093" s="16">
        <f t="shared" si="380"/>
        <v>41990.506377314814</v>
      </c>
      <c r="T4093" s="16">
        <f t="shared" si="381"/>
        <v>42020.506377314814</v>
      </c>
      <c r="U4093">
        <f t="shared" si="382"/>
        <v>30</v>
      </c>
      <c r="V4093">
        <f t="shared" si="383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 s="8">
        <f t="shared" si="379"/>
        <v>20</v>
      </c>
      <c r="Q4094" s="10" t="s">
        <v>8315</v>
      </c>
      <c r="R4094" s="10" t="s">
        <v>8316</v>
      </c>
      <c r="S4094" s="16">
        <f t="shared" si="380"/>
        <v>42039.194988425923</v>
      </c>
      <c r="T4094" s="16">
        <f t="shared" si="381"/>
        <v>42099.153321759266</v>
      </c>
      <c r="U4094">
        <f t="shared" si="382"/>
        <v>60</v>
      </c>
      <c r="V4094">
        <f t="shared" si="383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 s="8">
        <f t="shared" si="379"/>
        <v>15</v>
      </c>
      <c r="Q4095" s="10" t="s">
        <v>8315</v>
      </c>
      <c r="R4095" s="10" t="s">
        <v>8316</v>
      </c>
      <c r="S4095" s="16">
        <f t="shared" si="380"/>
        <v>42178.815891203703</v>
      </c>
      <c r="T4095" s="16">
        <f t="shared" si="381"/>
        <v>42238.815891203703</v>
      </c>
      <c r="U4095">
        <f t="shared" si="382"/>
        <v>60</v>
      </c>
      <c r="V4095">
        <f t="shared" si="383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 s="8">
        <f t="shared" si="379"/>
        <v>91.25</v>
      </c>
      <c r="Q4096" s="10" t="s">
        <v>8315</v>
      </c>
      <c r="R4096" s="10" t="s">
        <v>8316</v>
      </c>
      <c r="S4096" s="16">
        <f t="shared" si="380"/>
        <v>41890.086805555555</v>
      </c>
      <c r="T4096" s="16">
        <f t="shared" si="381"/>
        <v>41934.207638888889</v>
      </c>
      <c r="U4096">
        <f t="shared" si="382"/>
        <v>44</v>
      </c>
      <c r="V4096">
        <f t="shared" si="383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 s="8">
        <f t="shared" si="379"/>
        <v>800</v>
      </c>
      <c r="Q4097" s="10" t="s">
        <v>8315</v>
      </c>
      <c r="R4097" s="10" t="s">
        <v>8316</v>
      </c>
      <c r="S4097" s="16">
        <f t="shared" si="380"/>
        <v>42693.031828703708</v>
      </c>
      <c r="T4097" s="16">
        <f t="shared" si="381"/>
        <v>42723.031828703708</v>
      </c>
      <c r="U4097">
        <f t="shared" si="382"/>
        <v>30</v>
      </c>
      <c r="V4097">
        <f t="shared" si="383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ROUND((E4098/D4098)*100, 0)</f>
        <v>11</v>
      </c>
      <c r="P4098" s="8">
        <f t="shared" ref="P4098:P4115" si="385">IFERROR(ROUND(E4098/L4098, 2), 0)</f>
        <v>80</v>
      </c>
      <c r="Q4098" s="10" t="s">
        <v>8315</v>
      </c>
      <c r="R4098" s="10" t="s">
        <v>8316</v>
      </c>
      <c r="S4098" s="16">
        <f t="shared" ref="S4098:S4115" si="386">(J4098/60/60/24)+DATE(1970, 1, 1)</f>
        <v>42750.530312499999</v>
      </c>
      <c r="T4098" s="16">
        <f t="shared" ref="T4098:T4115" si="387">(I4098/60/60/24)+DATE(1970, 1, 1)</f>
        <v>42794.368749999994</v>
      </c>
      <c r="U4098">
        <f t="shared" si="382"/>
        <v>44</v>
      </c>
      <c r="V4098">
        <f t="shared" si="383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 s="8">
        <f t="shared" si="385"/>
        <v>0</v>
      </c>
      <c r="Q4099" s="10" t="s">
        <v>8315</v>
      </c>
      <c r="R4099" s="10" t="s">
        <v>8316</v>
      </c>
      <c r="S4099" s="16">
        <f t="shared" si="386"/>
        <v>42344.824502314819</v>
      </c>
      <c r="T4099" s="16">
        <f t="shared" si="387"/>
        <v>42400.996527777781</v>
      </c>
      <c r="U4099">
        <f t="shared" ref="U4099:U4115" si="388">ROUND(T4099-S4099, 0)</f>
        <v>56</v>
      </c>
      <c r="V4099">
        <f t="shared" ref="V4099:V4115" si="389">YEAR($S4099)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s="8">
        <f t="shared" si="385"/>
        <v>0</v>
      </c>
      <c r="Q4100" s="10" t="s">
        <v>8315</v>
      </c>
      <c r="R4100" s="10" t="s">
        <v>8316</v>
      </c>
      <c r="S4100" s="16">
        <f t="shared" si="386"/>
        <v>42495.722187499996</v>
      </c>
      <c r="T4100" s="16">
        <f t="shared" si="387"/>
        <v>42525.722187499996</v>
      </c>
      <c r="U4100">
        <f t="shared" si="388"/>
        <v>30</v>
      </c>
      <c r="V4100">
        <f t="shared" si="389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 s="8">
        <f t="shared" si="385"/>
        <v>50</v>
      </c>
      <c r="Q4101" s="10" t="s">
        <v>8315</v>
      </c>
      <c r="R4101" s="10" t="s">
        <v>8316</v>
      </c>
      <c r="S4101" s="16">
        <f t="shared" si="386"/>
        <v>42570.850381944445</v>
      </c>
      <c r="T4101" s="16">
        <f t="shared" si="387"/>
        <v>42615.850381944445</v>
      </c>
      <c r="U4101">
        <f t="shared" si="388"/>
        <v>45</v>
      </c>
      <c r="V4101">
        <f t="shared" si="389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s="8">
        <f t="shared" si="385"/>
        <v>0</v>
      </c>
      <c r="Q4102" s="10" t="s">
        <v>8315</v>
      </c>
      <c r="R4102" s="10" t="s">
        <v>8316</v>
      </c>
      <c r="S4102" s="16">
        <f t="shared" si="386"/>
        <v>41927.124884259261</v>
      </c>
      <c r="T4102" s="16">
        <f t="shared" si="387"/>
        <v>41937.124884259261</v>
      </c>
      <c r="U4102">
        <f t="shared" si="388"/>
        <v>10</v>
      </c>
      <c r="V4102">
        <f t="shared" si="38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s="8">
        <f t="shared" si="385"/>
        <v>0</v>
      </c>
      <c r="Q4103" s="10" t="s">
        <v>8315</v>
      </c>
      <c r="R4103" s="10" t="s">
        <v>8316</v>
      </c>
      <c r="S4103" s="16">
        <f t="shared" si="386"/>
        <v>42730.903726851851</v>
      </c>
      <c r="T4103" s="16">
        <f t="shared" si="387"/>
        <v>42760.903726851851</v>
      </c>
      <c r="U4103">
        <f t="shared" si="388"/>
        <v>30</v>
      </c>
      <c r="V4103">
        <f t="shared" si="389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 s="8">
        <f t="shared" si="385"/>
        <v>22.83</v>
      </c>
      <c r="Q4104" s="10" t="s">
        <v>8315</v>
      </c>
      <c r="R4104" s="10" t="s">
        <v>8316</v>
      </c>
      <c r="S4104" s="16">
        <f t="shared" si="386"/>
        <v>42475.848067129627</v>
      </c>
      <c r="T4104" s="16">
        <f t="shared" si="387"/>
        <v>42505.848067129627</v>
      </c>
      <c r="U4104">
        <f t="shared" si="388"/>
        <v>30</v>
      </c>
      <c r="V4104">
        <f t="shared" si="38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 s="8">
        <f t="shared" si="385"/>
        <v>16.670000000000002</v>
      </c>
      <c r="Q4105" s="10" t="s">
        <v>8315</v>
      </c>
      <c r="R4105" s="10" t="s">
        <v>8316</v>
      </c>
      <c r="S4105" s="16">
        <f t="shared" si="386"/>
        <v>42188.83293981482</v>
      </c>
      <c r="T4105" s="16">
        <f t="shared" si="387"/>
        <v>42242.772222222222</v>
      </c>
      <c r="U4105">
        <f t="shared" si="388"/>
        <v>54</v>
      </c>
      <c r="V4105">
        <f t="shared" si="38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 s="8">
        <f t="shared" si="385"/>
        <v>45.79</v>
      </c>
      <c r="Q4106" s="10" t="s">
        <v>8315</v>
      </c>
      <c r="R4106" s="10" t="s">
        <v>8316</v>
      </c>
      <c r="S4106" s="16">
        <f t="shared" si="386"/>
        <v>42640.278171296297</v>
      </c>
      <c r="T4106" s="16">
        <f t="shared" si="387"/>
        <v>42670.278171296297</v>
      </c>
      <c r="U4106">
        <f t="shared" si="388"/>
        <v>30</v>
      </c>
      <c r="V4106">
        <f t="shared" si="389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 s="8">
        <f t="shared" si="385"/>
        <v>383.33</v>
      </c>
      <c r="Q4107" s="10" t="s">
        <v>8315</v>
      </c>
      <c r="R4107" s="10" t="s">
        <v>8316</v>
      </c>
      <c r="S4107" s="16">
        <f t="shared" si="386"/>
        <v>42697.010520833333</v>
      </c>
      <c r="T4107" s="16">
        <f t="shared" si="387"/>
        <v>42730.010520833333</v>
      </c>
      <c r="U4107">
        <f t="shared" si="388"/>
        <v>33</v>
      </c>
      <c r="V4107">
        <f t="shared" si="38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 s="8">
        <f t="shared" si="385"/>
        <v>106.97</v>
      </c>
      <c r="Q4108" s="10" t="s">
        <v>8315</v>
      </c>
      <c r="R4108" s="10" t="s">
        <v>8316</v>
      </c>
      <c r="S4108" s="16">
        <f t="shared" si="386"/>
        <v>42053.049375000002</v>
      </c>
      <c r="T4108" s="16">
        <f t="shared" si="387"/>
        <v>42096.041666666672</v>
      </c>
      <c r="U4108">
        <f t="shared" si="388"/>
        <v>43</v>
      </c>
      <c r="V4108">
        <f t="shared" si="38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 s="8">
        <f t="shared" si="385"/>
        <v>10.25</v>
      </c>
      <c r="Q4109" s="10" t="s">
        <v>8315</v>
      </c>
      <c r="R4109" s="10" t="s">
        <v>8316</v>
      </c>
      <c r="S4109" s="16">
        <f t="shared" si="386"/>
        <v>41883.916678240741</v>
      </c>
      <c r="T4109" s="16">
        <f t="shared" si="387"/>
        <v>41906.916678240741</v>
      </c>
      <c r="U4109">
        <f t="shared" si="388"/>
        <v>23</v>
      </c>
      <c r="V4109">
        <f t="shared" si="38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 s="8">
        <f t="shared" si="385"/>
        <v>59</v>
      </c>
      <c r="Q4110" s="10" t="s">
        <v>8315</v>
      </c>
      <c r="R4110" s="10" t="s">
        <v>8316</v>
      </c>
      <c r="S4110" s="16">
        <f t="shared" si="386"/>
        <v>42767.031678240746</v>
      </c>
      <c r="T4110" s="16">
        <f t="shared" si="387"/>
        <v>42797.208333333328</v>
      </c>
      <c r="U4110">
        <f t="shared" si="388"/>
        <v>30</v>
      </c>
      <c r="V4110">
        <f t="shared" si="38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s="8">
        <f t="shared" si="385"/>
        <v>0</v>
      </c>
      <c r="Q4111" s="10" t="s">
        <v>8315</v>
      </c>
      <c r="R4111" s="10" t="s">
        <v>8316</v>
      </c>
      <c r="S4111" s="16">
        <f t="shared" si="386"/>
        <v>42307.539398148147</v>
      </c>
      <c r="T4111" s="16">
        <f t="shared" si="387"/>
        <v>42337.581064814818</v>
      </c>
      <c r="U4111">
        <f t="shared" si="388"/>
        <v>30</v>
      </c>
      <c r="V4111">
        <f t="shared" si="38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 s="8">
        <f t="shared" si="385"/>
        <v>14.33</v>
      </c>
      <c r="Q4112" s="10" t="s">
        <v>8315</v>
      </c>
      <c r="R4112" s="10" t="s">
        <v>8316</v>
      </c>
      <c r="S4112" s="16">
        <f t="shared" si="386"/>
        <v>42512.626747685179</v>
      </c>
      <c r="T4112" s="16">
        <f t="shared" si="387"/>
        <v>42572.626747685179</v>
      </c>
      <c r="U4112">
        <f t="shared" si="388"/>
        <v>60</v>
      </c>
      <c r="V4112">
        <f t="shared" si="38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 s="8">
        <f t="shared" si="385"/>
        <v>15.67</v>
      </c>
      <c r="Q4113" s="10" t="s">
        <v>8315</v>
      </c>
      <c r="R4113" s="10" t="s">
        <v>8316</v>
      </c>
      <c r="S4113" s="16">
        <f t="shared" si="386"/>
        <v>42029.135879629626</v>
      </c>
      <c r="T4113" s="16">
        <f t="shared" si="387"/>
        <v>42059.135879629626</v>
      </c>
      <c r="U4113">
        <f t="shared" si="388"/>
        <v>30</v>
      </c>
      <c r="V4113">
        <f t="shared" si="38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 s="8">
        <f t="shared" si="385"/>
        <v>1</v>
      </c>
      <c r="Q4114" s="10" t="s">
        <v>8315</v>
      </c>
      <c r="R4114" s="10" t="s">
        <v>8316</v>
      </c>
      <c r="S4114" s="16">
        <f t="shared" si="386"/>
        <v>42400.946597222224</v>
      </c>
      <c r="T4114" s="16">
        <f t="shared" si="387"/>
        <v>42428</v>
      </c>
      <c r="U4114">
        <f t="shared" si="388"/>
        <v>27</v>
      </c>
      <c r="V4114">
        <f t="shared" si="38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 s="8">
        <f t="shared" si="385"/>
        <v>1</v>
      </c>
      <c r="Q4115" s="10" t="s">
        <v>8315</v>
      </c>
      <c r="R4115" s="10" t="s">
        <v>8316</v>
      </c>
      <c r="S4115" s="16">
        <f t="shared" si="386"/>
        <v>42358.573182870372</v>
      </c>
      <c r="T4115" s="16">
        <f t="shared" si="387"/>
        <v>42377.273611111115</v>
      </c>
      <c r="U4115">
        <f t="shared" si="388"/>
        <v>19</v>
      </c>
      <c r="V4115">
        <f t="shared" si="389"/>
        <v>2015</v>
      </c>
    </row>
  </sheetData>
  <autoFilter ref="A1:V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"successful"</formula>
    </cfRule>
    <cfRule type="cellIs" dxfId="2" priority="4" operator="equal">
      <formula>"failed"</formula>
    </cfRule>
    <cfRule type="cellIs" dxfId="1" priority="5" operator="equal">
      <formula>"live"</formula>
    </cfRule>
  </conditionalFormatting>
  <conditionalFormatting sqref="O1:O1048576 P1">
    <cfRule type="colorScale" priority="1">
      <colorScale>
        <cfvo type="min"/>
        <cfvo type="num" val="100"/>
        <cfvo type="percent" val="100"/>
        <color rgb="FFFF0000"/>
        <color rgb="FFFFEB84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B2051-D795-4A27-882D-B91F8C5077AB}">
  <dimension ref="A3:F16"/>
  <sheetViews>
    <sheetView zoomScale="120" zoomScaleNormal="120" workbookViewId="0">
      <selection activeCell="H1" sqref="H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.5546875" bestFit="1" customWidth="1"/>
    <col min="4" max="4" width="5.5546875" bestFit="1" customWidth="1"/>
    <col min="5" max="5" width="9.44140625" bestFit="1" customWidth="1"/>
    <col min="6" max="6" width="11" bestFit="1" customWidth="1"/>
    <col min="7" max="9" width="6.5546875" bestFit="1" customWidth="1"/>
    <col min="10" max="194" width="7.5546875" bestFit="1" customWidth="1"/>
    <col min="195" max="1272" width="9.109375" bestFit="1" customWidth="1"/>
    <col min="1273" max="1832" width="10.109375" bestFit="1" customWidth="1"/>
    <col min="1833" max="1908" width="11.109375" bestFit="1" customWidth="1"/>
    <col min="1909" max="1910" width="12.6640625" bestFit="1" customWidth="1"/>
    <col min="1911" max="1912" width="11" bestFit="1" customWidth="1"/>
  </cols>
  <sheetData>
    <row r="3" spans="1:6" x14ac:dyDescent="0.3">
      <c r="A3" s="12" t="s">
        <v>8222</v>
      </c>
      <c r="B3" t="s">
        <v>8223</v>
      </c>
    </row>
    <row r="5" spans="1:6" x14ac:dyDescent="0.3">
      <c r="A5" s="12" t="s">
        <v>8362</v>
      </c>
      <c r="B5" s="12" t="s">
        <v>8360</v>
      </c>
    </row>
    <row r="6" spans="1:6" x14ac:dyDescent="0.3">
      <c r="A6" s="12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4" t="s">
        <v>8308</v>
      </c>
      <c r="B7" s="29">
        <v>31</v>
      </c>
      <c r="C7" s="29">
        <v>130</v>
      </c>
      <c r="D7" s="29"/>
      <c r="E7" s="29">
        <v>261</v>
      </c>
      <c r="F7" s="29">
        <v>422</v>
      </c>
    </row>
    <row r="8" spans="1:6" x14ac:dyDescent="0.3">
      <c r="A8" s="14" t="s">
        <v>8334</v>
      </c>
      <c r="B8" s="29">
        <v>15</v>
      </c>
      <c r="C8" s="29">
        <v>115</v>
      </c>
      <c r="D8" s="29">
        <v>4</v>
      </c>
      <c r="E8" s="29">
        <v>34</v>
      </c>
      <c r="F8" s="29">
        <v>168</v>
      </c>
    </row>
    <row r="9" spans="1:6" x14ac:dyDescent="0.3">
      <c r="A9" s="14" t="s">
        <v>8331</v>
      </c>
      <c r="B9" s="29"/>
      <c r="C9" s="29">
        <v>96</v>
      </c>
      <c r="D9" s="29"/>
      <c r="E9" s="29">
        <v>52</v>
      </c>
      <c r="F9" s="29">
        <v>148</v>
      </c>
    </row>
    <row r="10" spans="1:6" x14ac:dyDescent="0.3">
      <c r="A10" s="14" t="s">
        <v>8329</v>
      </c>
      <c r="B10" s="29">
        <v>23</v>
      </c>
      <c r="C10" s="29"/>
      <c r="D10" s="29"/>
      <c r="E10" s="29"/>
      <c r="F10" s="29">
        <v>23</v>
      </c>
    </row>
    <row r="11" spans="1:6" x14ac:dyDescent="0.3">
      <c r="A11" s="14" t="s">
        <v>8323</v>
      </c>
      <c r="B11" s="29">
        <v>19</v>
      </c>
      <c r="C11" s="29">
        <v>110</v>
      </c>
      <c r="D11" s="29">
        <v>17</v>
      </c>
      <c r="E11" s="29">
        <v>490</v>
      </c>
      <c r="F11" s="29">
        <v>636</v>
      </c>
    </row>
    <row r="12" spans="1:6" x14ac:dyDescent="0.3">
      <c r="A12" s="14" t="s">
        <v>8336</v>
      </c>
      <c r="B12" s="29"/>
      <c r="C12" s="29">
        <v>72</v>
      </c>
      <c r="D12" s="29"/>
      <c r="E12" s="29">
        <v>62</v>
      </c>
      <c r="F12" s="29">
        <v>134</v>
      </c>
    </row>
    <row r="13" spans="1:6" x14ac:dyDescent="0.3">
      <c r="A13" s="14" t="s">
        <v>8320</v>
      </c>
      <c r="B13" s="29">
        <v>22</v>
      </c>
      <c r="C13" s="29">
        <v>87</v>
      </c>
      <c r="D13" s="29"/>
      <c r="E13" s="29">
        <v>69</v>
      </c>
      <c r="F13" s="29">
        <v>178</v>
      </c>
    </row>
    <row r="14" spans="1:6" x14ac:dyDescent="0.3">
      <c r="A14" s="14" t="s">
        <v>8317</v>
      </c>
      <c r="B14" s="29">
        <v>121</v>
      </c>
      <c r="C14" s="29">
        <v>138</v>
      </c>
      <c r="D14" s="29"/>
      <c r="E14" s="29">
        <v>158</v>
      </c>
      <c r="F14" s="29">
        <v>417</v>
      </c>
    </row>
    <row r="15" spans="1:6" x14ac:dyDescent="0.3">
      <c r="A15" s="14" t="s">
        <v>8315</v>
      </c>
      <c r="B15" s="29">
        <v>26</v>
      </c>
      <c r="C15" s="29">
        <v>349</v>
      </c>
      <c r="D15" s="29">
        <v>12</v>
      </c>
      <c r="E15" s="29">
        <v>525</v>
      </c>
      <c r="F15" s="29">
        <v>912</v>
      </c>
    </row>
    <row r="16" spans="1:6" x14ac:dyDescent="0.3">
      <c r="A16" s="14" t="s">
        <v>8361</v>
      </c>
      <c r="B16" s="29">
        <v>257</v>
      </c>
      <c r="C16" s="29">
        <v>1097</v>
      </c>
      <c r="D16" s="29">
        <v>33</v>
      </c>
      <c r="E16" s="29">
        <v>1651</v>
      </c>
      <c r="F16" s="2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0746-BA40-4EC2-B1E5-8C26AB1C068A}">
  <dimension ref="A2:F11"/>
  <sheetViews>
    <sheetView zoomScale="140" zoomScaleNormal="140"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.109375" bestFit="1" customWidth="1"/>
    <col min="4" max="4" width="6.109375" bestFit="1" customWidth="1"/>
    <col min="5" max="5" width="9.44140625" bestFit="1" customWidth="1"/>
    <col min="6" max="6" width="11.109375" bestFit="1" customWidth="1"/>
  </cols>
  <sheetData>
    <row r="2" spans="1:6" x14ac:dyDescent="0.3">
      <c r="A2" s="12" t="s">
        <v>8222</v>
      </c>
      <c r="B2" t="s">
        <v>8363</v>
      </c>
    </row>
    <row r="3" spans="1:6" x14ac:dyDescent="0.3">
      <c r="A3" s="12" t="s">
        <v>8358</v>
      </c>
      <c r="B3" t="s">
        <v>8315</v>
      </c>
    </row>
    <row r="4" spans="1:6" x14ac:dyDescent="0.3">
      <c r="A4" s="12" t="s">
        <v>8262</v>
      </c>
      <c r="B4" t="s">
        <v>8363</v>
      </c>
    </row>
    <row r="6" spans="1:6" x14ac:dyDescent="0.3">
      <c r="A6" s="12" t="s">
        <v>8362</v>
      </c>
      <c r="B6" s="12" t="s">
        <v>8360</v>
      </c>
    </row>
    <row r="7" spans="1:6" x14ac:dyDescent="0.3">
      <c r="A7" s="12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4" t="s">
        <v>8357</v>
      </c>
      <c r="B8" s="28">
        <v>1.4357501794687724E-2</v>
      </c>
      <c r="C8" s="28">
        <v>4.3072505384063174E-2</v>
      </c>
      <c r="D8" s="28">
        <v>0</v>
      </c>
      <c r="E8" s="28">
        <v>4.3072505384063174E-2</v>
      </c>
      <c r="F8" s="28">
        <v>0.10050251256281408</v>
      </c>
    </row>
    <row r="9" spans="1:6" x14ac:dyDescent="0.3">
      <c r="A9" s="14" t="s">
        <v>8316</v>
      </c>
      <c r="B9" s="28">
        <v>0</v>
      </c>
      <c r="C9" s="28">
        <v>0.25340990667623836</v>
      </c>
      <c r="D9" s="28">
        <v>1.3639626704953339E-2</v>
      </c>
      <c r="E9" s="28">
        <v>0.49820531227566406</v>
      </c>
      <c r="F9" s="28">
        <v>0.76525484565685575</v>
      </c>
    </row>
    <row r="10" spans="1:6" x14ac:dyDescent="0.3">
      <c r="A10" s="14" t="s">
        <v>8355</v>
      </c>
      <c r="B10" s="28">
        <v>1.2203876525484566E-2</v>
      </c>
      <c r="C10" s="28">
        <v>5.7430007178750894E-2</v>
      </c>
      <c r="D10" s="28">
        <v>3.5893754486719309E-3</v>
      </c>
      <c r="E10" s="28">
        <v>6.1019382627422826E-2</v>
      </c>
      <c r="F10" s="28">
        <v>0.13424264178033021</v>
      </c>
    </row>
    <row r="11" spans="1:6" x14ac:dyDescent="0.3">
      <c r="A11" s="14" t="s">
        <v>8361</v>
      </c>
      <c r="B11" s="28">
        <v>2.6561378320172292E-2</v>
      </c>
      <c r="C11" s="28">
        <v>0.35391241923905242</v>
      </c>
      <c r="D11" s="28">
        <v>1.7229002153625269E-2</v>
      </c>
      <c r="E11" s="28">
        <v>0.60229720028715006</v>
      </c>
      <c r="F11" s="2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C6F4-49AE-4AE7-B8FE-F39BE37CFC00}">
  <dimension ref="A1:XEN1048555"/>
  <sheetViews>
    <sheetView topLeftCell="A4" zoomScale="60" zoomScaleNormal="60" workbookViewId="0">
      <selection activeCell="V42" sqref="V42"/>
    </sheetView>
  </sheetViews>
  <sheetFormatPr defaultRowHeight="14.4" x14ac:dyDescent="0.3"/>
  <cols>
    <col min="1" max="1" width="20" bestFit="1" customWidth="1"/>
    <col min="2" max="2" width="12.44140625" style="19" bestFit="1" customWidth="1"/>
    <col min="3" max="3" width="12.88671875" style="19" bestFit="1" customWidth="1"/>
    <col min="4" max="4" width="11" bestFit="1" customWidth="1"/>
    <col min="5" max="5" width="11.21875" bestFit="1" customWidth="1"/>
    <col min="6" max="6" width="17.6640625" bestFit="1" customWidth="1"/>
    <col min="7" max="7" width="13.77734375" bestFit="1" customWidth="1"/>
    <col min="8" max="8" width="11.109375" bestFit="1" customWidth="1"/>
    <col min="9" max="9" width="22" bestFit="1" customWidth="1"/>
    <col min="10" max="10" width="15.33203125" bestFit="1" customWidth="1"/>
    <col min="11" max="11" width="16.77734375" bestFit="1" customWidth="1"/>
    <col min="12" max="12" width="27" bestFit="1" customWidth="1"/>
    <col min="13" max="13" width="23.109375" bestFit="1" customWidth="1"/>
    <col min="14" max="14" width="13.88671875" bestFit="1" customWidth="1"/>
  </cols>
  <sheetData>
    <row r="1" spans="1:15 16367:16368" hidden="1" x14ac:dyDescent="0.3">
      <c r="A1" s="11"/>
      <c r="B1" s="18"/>
      <c r="C1" s="18"/>
      <c r="D1" s="11" t="s">
        <v>8397</v>
      </c>
      <c r="E1" t="s">
        <v>8423</v>
      </c>
      <c r="F1" t="s">
        <v>8424</v>
      </c>
      <c r="G1" t="s">
        <v>8425</v>
      </c>
      <c r="I1" s="11" t="s">
        <v>8426</v>
      </c>
      <c r="L1" t="s">
        <v>8448</v>
      </c>
      <c r="XEM1" s="18"/>
      <c r="XEN1" s="18"/>
    </row>
    <row r="2" spans="1:15 16367:16368" s="11" customFormat="1" hidden="1" x14ac:dyDescent="0.3">
      <c r="B2"/>
      <c r="C2"/>
      <c r="D2" s="19">
        <v>10000</v>
      </c>
      <c r="G2" s="24" t="s">
        <v>8223</v>
      </c>
      <c r="I2" s="24" t="s">
        <v>8316</v>
      </c>
    </row>
    <row r="3" spans="1:15 16367:16368" x14ac:dyDescent="0.3">
      <c r="C3"/>
    </row>
    <row r="6" spans="1:15 16367:16368" x14ac:dyDescent="0.3">
      <c r="A6" s="11" t="s">
        <v>8386</v>
      </c>
      <c r="B6" s="18" t="s">
        <v>8420</v>
      </c>
      <c r="C6" s="18" t="s">
        <v>8419</v>
      </c>
      <c r="D6" s="11" t="s">
        <v>8418</v>
      </c>
      <c r="E6" s="11" t="s">
        <v>8417</v>
      </c>
      <c r="F6" s="11" t="s">
        <v>8421</v>
      </c>
      <c r="G6" s="11" t="s">
        <v>8422</v>
      </c>
      <c r="H6" s="11"/>
      <c r="I6" s="11"/>
      <c r="J6" s="11"/>
      <c r="K6" s="11" t="s">
        <v>8221</v>
      </c>
      <c r="L6" s="11" t="s">
        <v>8219</v>
      </c>
      <c r="M6" s="11" t="s">
        <v>8220</v>
      </c>
      <c r="N6" s="11" t="s">
        <v>8218</v>
      </c>
      <c r="O6" s="11"/>
    </row>
    <row r="7" spans="1:15 16367:16368" x14ac:dyDescent="0.3">
      <c r="A7" t="s">
        <v>8388</v>
      </c>
      <c r="B7" s="23">
        <f>AVERAGEIFS(Kickstarter!$D:$D, Kickstarter!$G:$G, $G$2)</f>
        <v>81353.647402896648</v>
      </c>
      <c r="C7" s="23">
        <f>AVERAGEIFS(Kickstarter!$D:$D, Kickstarter!$G:$G, $G$2, Kickstarter!$F:$F, "successful")</f>
        <v>10553.780623864326</v>
      </c>
      <c r="D7" s="23">
        <f>AVERAGEIFS(Kickstarter!$D:$D, Kickstarter!$G:$G, $G$2, Kickstarter!$F:$F, "failed")</f>
        <v>48912.989061075663</v>
      </c>
      <c r="E7" s="23">
        <f>AVERAGEIFS(Kickstarter!$D:$D, Kickstarter!$R:$R, "plays", Kickstarter!$G:$G, $G$2)</f>
        <v>7177.8211624441128</v>
      </c>
      <c r="F7" s="23">
        <f>AVERAGEIFS(Kickstarter!$D:$D, Kickstarter!$F:$F, "successful", Kickstarter!$R:$R, "plays", Kickstarter!$G:$G, $G$2)</f>
        <v>5048.8786407766993</v>
      </c>
      <c r="G7" s="23">
        <f>AVERAGEIFS(Kickstarter!$D:$D, Kickstarter!$F:$F, "failed", Kickstarter!$R:$R, "plays", Kickstarter!$G:$G, $G$2)</f>
        <v>10554.212</v>
      </c>
      <c r="H7" s="19"/>
      <c r="I7" s="19" t="s">
        <v>8450</v>
      </c>
      <c r="J7" s="18" t="s">
        <v>8260</v>
      </c>
      <c r="K7" s="11">
        <f>K9+K8</f>
        <v>50</v>
      </c>
      <c r="L7" s="11">
        <f t="shared" ref="L7:N7" si="0">L9+L8</f>
        <v>349</v>
      </c>
      <c r="M7" s="11">
        <f t="shared" si="0"/>
        <v>1530</v>
      </c>
      <c r="N7" s="11">
        <f t="shared" si="0"/>
        <v>2185</v>
      </c>
    </row>
    <row r="8" spans="1:15 16367:16368" x14ac:dyDescent="0.3">
      <c r="A8" t="s">
        <v>8389</v>
      </c>
      <c r="B8" s="23">
        <f>MEDIAN(IF((Kickstarter!$G:$G=$G$2), Kickstarter!$D:$D ))</f>
        <v>5000</v>
      </c>
      <c r="C8" s="23">
        <f>MEDIAN(IF((Kickstarter!$G:$G=$G$2), IF((Kickstarter!$F:$F="successful"), Kickstarter!$D:$D ) ))</f>
        <v>5000</v>
      </c>
      <c r="D8" s="23">
        <f t="array" ref="D8">MEDIAN(IF((Kickstarter!$G:$G=$G$2), IF((Kickstarter!$F:$F="failed"), Kickstarter!$D:$D ) ))</f>
        <v>8500</v>
      </c>
      <c r="E8" s="23">
        <f t="array" ref="E8">MEDIAN(IF((Kickstarter!$G:$G=$G$2), IF((Kickstarter!$R:$R="plays"), Kickstarter!$D:$D ) ))</f>
        <v>3000</v>
      </c>
      <c r="F8" s="23">
        <f t="array" ref="F8">MEDIAN(IF((Kickstarter!$G:$G=$G$2), IF((Kickstarter!$R:$R="plays"), IF((Kickstarter!$F:$F="successful"), Kickstarter!$D:$D ) ) ))</f>
        <v>3000</v>
      </c>
      <c r="G8" s="23">
        <f t="array" ref="G8">MEDIAN(IF((Kickstarter!$G:$G=$G$2), IF((Kickstarter!$R:$R="plays"), IF((Kickstarter!$F:$F="failed"), Kickstarter!$D:$D ) ) ))</f>
        <v>5000</v>
      </c>
      <c r="H8" s="19"/>
      <c r="I8" s="19"/>
      <c r="J8" s="19" t="b">
        <v>1</v>
      </c>
      <c r="K8">
        <f>COUNTIFS(Kickstarter!$F:$F, K$6, Kickstarter!$K:$K, $J8)</f>
        <v>1</v>
      </c>
      <c r="L8">
        <f>COUNTIFS(Kickstarter!$F:$F, L$6, Kickstarter!$K:$K, $J8)</f>
        <v>4</v>
      </c>
      <c r="M8">
        <f>COUNTIFS(Kickstarter!$F:$F, M$6, Kickstarter!$K:$K, $J8)</f>
        <v>66</v>
      </c>
      <c r="N8">
        <f>COUNTIFS(Kickstarter!$F:$F, N$6, Kickstarter!$K:$K, $J8)</f>
        <v>486</v>
      </c>
    </row>
    <row r="9" spans="1:15 16367:16368" s="13" customFormat="1" x14ac:dyDescent="0.3">
      <c r="A9" t="s">
        <v>8383</v>
      </c>
      <c r="B9" s="23">
        <f>_xlfn.STDEV.P(IF((Kickstarter!$G:$G=$G$2), Kickstarter!$D:$D ))</f>
        <v>1693312.894734117</v>
      </c>
      <c r="C9" s="23">
        <f>_xlfn.STDEV.P(IF((Kickstarter!$G:$G=$G$2), IF((Kickstarter!$F:$F="successful"), Kickstarter!$D:$D ) ))</f>
        <v>1693312.894734117</v>
      </c>
      <c r="D9" s="23">
        <f t="array" ref="D9">_xlfn.STDEV.P(IF((Kickstarter!$G:$G=$G$2), IF((Kickstarter!$F:$F="failed"), Kickstarter!$D:$D ) ))</f>
        <v>245710.3139022894</v>
      </c>
      <c r="E9" s="23">
        <f t="array" ref="E9">_xlfn.STDEV.P(IF((Kickstarter!$G:$G=$G$2), IF((Kickstarter!$R:$R="plays"), Kickstarter!$D:$D ) ))</f>
        <v>15007.889790243484</v>
      </c>
      <c r="F9" s="23">
        <f t="array" ref="F9">_xlfn.STDEV.P(IF((Kickstarter!$G:$G=$G$2), IF((Kickstarter!$R:$R="plays"), IF((Kickstarter!$F:$F="successful"), Kickstarter!$D:$D ) ) ))</f>
        <v>7748.7537726373303</v>
      </c>
      <c r="G9" s="23">
        <f t="array" ref="G9">_xlfn.STDEV.P(IF((Kickstarter!$G:$G=$G$2), IF((Kickstarter!$R:$R="plays"), IF((Kickstarter!$F:$F="failed"), Kickstarter!$D:$D ) ) ))</f>
        <v>21967.731061515115</v>
      </c>
      <c r="H9" s="19"/>
      <c r="I9" s="19"/>
      <c r="J9" s="19" t="b">
        <v>0</v>
      </c>
      <c r="K9">
        <f>COUNTIFS(Kickstarter!$F:$F, K$6, Kickstarter!$K:$K, $J9)</f>
        <v>49</v>
      </c>
      <c r="L9">
        <f>COUNTIFS(Kickstarter!$F:$F, L$6, Kickstarter!$K:$K, $J9)</f>
        <v>345</v>
      </c>
      <c r="M9">
        <f>COUNTIFS(Kickstarter!$F:$F, M$6, Kickstarter!$K:$K, $J9)</f>
        <v>1464</v>
      </c>
      <c r="N9">
        <f>COUNTIFS(Kickstarter!$F:$F, N$6, Kickstarter!$K:$K, $J9)</f>
        <v>1699</v>
      </c>
      <c r="O9"/>
    </row>
    <row r="10" spans="1:15 16367:16368" x14ac:dyDescent="0.3">
      <c r="A10" t="s">
        <v>8390</v>
      </c>
      <c r="B10" s="23" cm="1">
        <f t="array" ref="B10">_xlfn.QUARTILE.EXC(IF((Kickstarter!$G:$G=$G$2), Kickstarter!$D:$D), 1)</f>
        <v>2200</v>
      </c>
      <c r="C10" s="23" cm="1">
        <f t="array" ref="C10">_xlfn.QUARTILE.EXC(IF((Kickstarter!$G:$G=$G$2), IF((Kickstarter!$F:$F="successful"), Kickstarter!$D:$D)), 1)</f>
        <v>1900</v>
      </c>
      <c r="D10" s="23" cm="1">
        <f t="array" ref="D10">_xlfn.QUARTILE.EXC(IF((Kickstarter!$G:$G=$G$2), IF((Kickstarter!$F:$F="failed"), Kickstarter!$D:$D)), 1)</f>
        <v>3000</v>
      </c>
      <c r="E10" s="23" cm="1">
        <f t="array" ref="E10">_xlfn.QUARTILE.EXC(IF((Kickstarter!$G:$G=$G$2), IF((Kickstarter!$R:$R="plays"), Kickstarter!$D:$D)), 1)</f>
        <v>1500</v>
      </c>
      <c r="F10" s="23">
        <f t="array" ref="F10">_xlfn.QUARTILE.EXC(IF((Kickstarter!$G:$G=$G$2), IF((Kickstarter!$R:$R="plays"), IF((Kickstarter!$F:$F="successful"), Kickstarter!$D:$D ) ) ), 1)</f>
        <v>1500</v>
      </c>
      <c r="G10" s="23">
        <f t="array" ref="G10">_xlfn.QUARTILE.EXC(IF((Kickstarter!$G:$G=$G$2), IF((Kickstarter!$R:$R="plays"), IF((Kickstarter!$F:$F="failed"), Kickstarter!$D:$D ) ) ), 1)</f>
        <v>2000</v>
      </c>
      <c r="H10" s="19"/>
      <c r="I10" s="19" t="s">
        <v>8451</v>
      </c>
      <c r="J10" s="18" t="s">
        <v>8262</v>
      </c>
      <c r="K10" s="11">
        <f>K12+K11</f>
        <v>50</v>
      </c>
      <c r="L10" s="11">
        <f t="shared" ref="L10" si="1">L12+L11</f>
        <v>349</v>
      </c>
      <c r="M10" s="11">
        <f t="shared" ref="M10" si="2">M12+M11</f>
        <v>1530</v>
      </c>
      <c r="N10" s="11">
        <f t="shared" ref="N10" si="3">N12+N11</f>
        <v>2185</v>
      </c>
    </row>
    <row r="11" spans="1:15 16367:16368" x14ac:dyDescent="0.3">
      <c r="A11" t="s">
        <v>8391</v>
      </c>
      <c r="B11" s="23">
        <f t="array" ref="B11">_xlfn.QUARTILE.EXC(IF((Kickstarter!$G:$G=$G$2), Kickstarter!$D:$D ), 3)</f>
        <v>17000</v>
      </c>
      <c r="C11" s="23">
        <f t="array" ref="C11">_xlfn.QUARTILE.EXC(IF((Kickstarter!$G:$G=$G$2), IF((Kickstarter!$F:$F="successful"), Kickstarter!$D:$D ) ), 3)</f>
        <v>10000</v>
      </c>
      <c r="D11" s="23">
        <f t="array" ref="D11">_xlfn.QUARTILE.EXC(IF((Kickstarter!$G:$G=$G$2), IF((Kickstarter!$F:$F="failed"), Kickstarter!$D:$D ) ), 3)</f>
        <v>25000</v>
      </c>
      <c r="E11" s="23">
        <f t="array" ref="E11">_xlfn.QUARTILE.EXC(IF((Kickstarter!$G:$G=$G$2), IF((Kickstarter!$R:$R="plays"), Kickstarter!$D:$D ) ), 3)</f>
        <v>7000</v>
      </c>
      <c r="F11" s="23">
        <f t="array" ref="F11">_xlfn.QUARTILE.EXC(IF((Kickstarter!$G:$G=$G$2), IF((Kickstarter!$R:$R="plays"), IF((Kickstarter!$F:$F="successful"), Kickstarter!$D:$D ) ) ), 3)</f>
        <v>5000</v>
      </c>
      <c r="G11" s="23">
        <f t="array" ref="G11">_xlfn.QUARTILE.EXC(IF((Kickstarter!$G:$G=$G$2), IF((Kickstarter!$R:$R="plays"), IF((Kickstarter!$F:$F="failed"), Kickstarter!$D:$D ) ) ), 3)</f>
        <v>10000</v>
      </c>
      <c r="H11" s="19"/>
      <c r="I11" s="19"/>
      <c r="J11" s="19" t="b">
        <v>1</v>
      </c>
      <c r="K11">
        <f>COUNTIFS(Kickstarter!$F:$F, K$6, Kickstarter!$M:$M, $J11)</f>
        <v>0</v>
      </c>
      <c r="L11">
        <f>COUNTIFS(Kickstarter!$F:$F, L$6, Kickstarter!$M:$M, $J11)</f>
        <v>0</v>
      </c>
      <c r="M11">
        <f>COUNTIFS(Kickstarter!$F:$F, M$6, Kickstarter!$M:$M, $J11)</f>
        <v>0</v>
      </c>
      <c r="N11">
        <f>COUNTIFS(Kickstarter!$F:$F, N$6, Kickstarter!$M:$M, $J11)</f>
        <v>2185</v>
      </c>
    </row>
    <row r="12" spans="1:15 16367:16368" x14ac:dyDescent="0.3">
      <c r="A12" t="s">
        <v>8392</v>
      </c>
      <c r="B12" s="23">
        <f t="shared" ref="B12:G12" si="4">B11-B10</f>
        <v>14800</v>
      </c>
      <c r="C12" s="23">
        <f t="shared" si="4"/>
        <v>8100</v>
      </c>
      <c r="D12" s="23">
        <f t="shared" si="4"/>
        <v>22000</v>
      </c>
      <c r="E12" s="23">
        <f t="shared" si="4"/>
        <v>5500</v>
      </c>
      <c r="F12" s="23">
        <f t="shared" si="4"/>
        <v>3500</v>
      </c>
      <c r="G12" s="23">
        <f t="shared" si="4"/>
        <v>8000</v>
      </c>
      <c r="H12" s="19"/>
      <c r="I12" s="19"/>
      <c r="J12" s="19" t="b">
        <v>0</v>
      </c>
      <c r="K12">
        <f>COUNTIFS(Kickstarter!$F:$F, K$6, Kickstarter!$M:$M, $J12)</f>
        <v>50</v>
      </c>
      <c r="L12">
        <f>COUNTIFS(Kickstarter!$F:$F, L$6, Kickstarter!$M:$M, $J12)</f>
        <v>349</v>
      </c>
      <c r="M12">
        <f>COUNTIFS(Kickstarter!$F:$F, M$6, Kickstarter!$M:$M, $J12)</f>
        <v>1530</v>
      </c>
      <c r="N12">
        <f>COUNTIFS(Kickstarter!$F:$F, N$6, Kickstarter!$M:$M, $J12)</f>
        <v>0</v>
      </c>
    </row>
    <row r="13" spans="1:15 16367:16368" s="11" customFormat="1" x14ac:dyDescent="0.3">
      <c r="A13" s="13" t="s">
        <v>8396</v>
      </c>
      <c r="B13" s="20">
        <f>COUNTIF(Kickstarter!$G:$G, "US")</f>
        <v>3038</v>
      </c>
      <c r="C13" s="20">
        <f>COUNTIFS(Kickstarter!$G:$G, "US", Kickstarter!$F:$F, "successful")</f>
        <v>1651</v>
      </c>
      <c r="D13" s="20">
        <f>COUNTIFS(Kickstarter!$G:$G, "US", Kickstarter!$F:$F, "failed")</f>
        <v>1097</v>
      </c>
      <c r="E13" s="20">
        <f>COUNTIFS(Kickstarter!$G:$G, "US", Kickstarter!$R:$R, "plays")</f>
        <v>671</v>
      </c>
      <c r="F13" s="20">
        <f>COUNTIFS(Kickstarter!$F:$F, "successful", Kickstarter!$G:$G, "US", Kickstarter!$R:$R, "plays")</f>
        <v>412</v>
      </c>
      <c r="G13" s="20">
        <f>COUNTIFS(Kickstarter!$F:$F, "failed", Kickstarter!$G:$G, "US", Kickstarter!$R:$R, "plays")</f>
        <v>250</v>
      </c>
      <c r="H13" s="20"/>
      <c r="I13" s="20"/>
      <c r="J13" s="20"/>
      <c r="K13" s="13"/>
      <c r="L13" s="13"/>
      <c r="M13" s="13"/>
      <c r="N13" s="13"/>
      <c r="O13" s="13"/>
    </row>
    <row r="14" spans="1:15 16367:16368" x14ac:dyDescent="0.3">
      <c r="A14" s="13" t="s">
        <v>8429</v>
      </c>
      <c r="B14" s="25">
        <f>COUNTIFS(Kickstarter!$G:$G, "US", Kickstarter!$L:$L, "&gt;0")</f>
        <v>2751</v>
      </c>
      <c r="C14" s="25">
        <f>COUNTIFS(Kickstarter!$F:$F, "successful", Kickstarter!$L:$L, "&gt;0", Kickstarter!$G:$G, "US")</f>
        <v>1651</v>
      </c>
      <c r="D14" s="25">
        <f>COUNTIFS(Kickstarter!$F:$F, "failed", Kickstarter!$L:$L, "&gt;0", Kickstarter!$G:$G, "US")</f>
        <v>892</v>
      </c>
      <c r="E14" s="25">
        <f>COUNTIFS(Kickstarter!$L:$L, "&gt;0", Kickstarter!$R:$R, "plays", Kickstarter!$G:$G, "US")</f>
        <v>631</v>
      </c>
      <c r="F14" s="25">
        <f>COUNTIFS(Kickstarter!$L:$L, "&gt;0", Kickstarter!$R:$R, "plays", Kickstarter!$F:$F, "successful", Kickstarter!$G:$G, "US")</f>
        <v>412</v>
      </c>
      <c r="G14" s="25">
        <f>COUNTIFS(Kickstarter!$L:$L, "&gt;0", Kickstarter!$R:$R, "plays", Kickstarter!$F:$F, "failed", Kickstarter!$G:$G, "US")</f>
        <v>211</v>
      </c>
    </row>
    <row r="15" spans="1:15 16367:16368" x14ac:dyDescent="0.3">
      <c r="A15" s="13" t="s">
        <v>8430</v>
      </c>
      <c r="B15" s="26">
        <f t="shared" ref="B15:G15" si="5">B$14/B$13</f>
        <v>0.90552995391705071</v>
      </c>
      <c r="C15" s="26">
        <f t="shared" si="5"/>
        <v>1</v>
      </c>
      <c r="D15" s="26">
        <f t="shared" si="5"/>
        <v>0.81312670920692798</v>
      </c>
      <c r="E15" s="26">
        <f t="shared" si="5"/>
        <v>0.94038748137108796</v>
      </c>
      <c r="F15" s="26">
        <f t="shared" si="5"/>
        <v>1</v>
      </c>
      <c r="G15" s="26">
        <f t="shared" si="5"/>
        <v>0.84399999999999997</v>
      </c>
    </row>
    <row r="16" spans="1:15 16367:16368" x14ac:dyDescent="0.3">
      <c r="A16" s="11"/>
      <c r="B16" s="18"/>
      <c r="C16" s="18"/>
    </row>
    <row r="17" spans="1:13" x14ac:dyDescent="0.3">
      <c r="A17" s="11" t="s">
        <v>8387</v>
      </c>
      <c r="B17" s="18" t="s">
        <v>8420</v>
      </c>
      <c r="C17" s="18" t="s">
        <v>8419</v>
      </c>
      <c r="D17" s="11" t="s">
        <v>8418</v>
      </c>
      <c r="E17" s="11" t="s">
        <v>8417</v>
      </c>
      <c r="F17" s="11" t="s">
        <v>8421</v>
      </c>
      <c r="G17" s="11" t="s">
        <v>8422</v>
      </c>
      <c r="H17" s="11" t="s">
        <v>8442</v>
      </c>
      <c r="I17" s="11" t="s">
        <v>8441</v>
      </c>
      <c r="J17" s="11" t="s">
        <v>8440</v>
      </c>
      <c r="K17" s="11" t="s">
        <v>8439</v>
      </c>
      <c r="L17" s="11" t="s">
        <v>8438</v>
      </c>
      <c r="M17" s="11" t="s">
        <v>8437</v>
      </c>
    </row>
    <row r="18" spans="1:13" x14ac:dyDescent="0.3">
      <c r="A18" t="s">
        <v>8393</v>
      </c>
      <c r="B18" s="23">
        <f>AVERAGEIFS(Kickstarter!$E:$E, Kickstarter!$G:$G, $G$2)</f>
        <v>11910.023887425941</v>
      </c>
      <c r="C18" s="23">
        <f>AVERAGEIFS(Kickstarter!$E:$E, Kickstarter!$G:$G, $G$2, Kickstarter!$F:$F, "successful")</f>
        <v>19327.924264082387</v>
      </c>
      <c r="D18" s="23">
        <f>AVERAGEIFS(Kickstarter!$E:$E, Kickstarter!$G:$G, $G$2, Kickstarter!$F:$F, "failed")</f>
        <v>1522.7545305378305</v>
      </c>
      <c r="E18" s="23">
        <f>AVERAGEIFS(Kickstarter!$E:$E, Kickstarter!$R:$R, "plays", Kickstarter!$G:$G, $G$2)</f>
        <v>3684.9233681073028</v>
      </c>
      <c r="F18" s="23">
        <f>AVERAGEIFS(Kickstarter!$E:$E, Kickstarter!$F:$F, "successful", Kickstarter!$R:$R, "plays", Kickstarter!$G:$G, $G$2)</f>
        <v>5601.5458009708727</v>
      </c>
      <c r="G18" s="23">
        <f>AVERAGEIFS(Kickstarter!$E:$E, Kickstarter!$F:$F, "failed", Kickstarter!$R:$R, "plays", Kickstarter!$G:$G, $G$2)</f>
        <v>558.65484000000004</v>
      </c>
      <c r="H18" s="23">
        <f>AVERAGEIFS(Kickstarter!$E:$E, Kickstarter!$D:$D, $D$2, Kickstarter!$G:$G, $G$2)</f>
        <v>9742.113967391304</v>
      </c>
      <c r="I18" s="23">
        <f>AVERAGEIFS(Kickstarter!$E:$E, Kickstarter!$D:$D, $D$2, Kickstarter!$G:$G, $G$2, Kickstarter!$F:$F, "successful")</f>
        <v>18960.202967032968</v>
      </c>
      <c r="J18" s="23">
        <f>AVERAGEIFS(Kickstarter!$E:$E, Kickstarter!$D:$D, $D$2, Kickstarter!$G:$G, $G$2, Kickstarter!$F:$F, "failed")</f>
        <v>618.47794117647061</v>
      </c>
      <c r="K18" s="23">
        <f>AVERAGEIFS(Kickstarter!$E:$E, Kickstarter!$D:$D, $D$2, Kickstarter!$G:$G, $G$2, Kickstarter!$R:$R, $I$2)</f>
        <v>7076.6354999999994</v>
      </c>
      <c r="L18" s="23">
        <f>AVERAGEIFS(Kickstarter!$E:$E, Kickstarter!$D:$D, $D$2, Kickstarter!$G:$G, $G$2, Kickstarter!$F:$F, "successful", Kickstarter!$R:$R, $I$2)</f>
        <v>11088.684166666666</v>
      </c>
      <c r="M18" s="23">
        <f>AVERAGEIFS(Kickstarter!$E:$E, Kickstarter!$D:$D, $D$2, Kickstarter!$G:$G, $G$2, Kickstarter!$F:$F, "failed", Kickstarter!$R:$R, $I$2)</f>
        <v>644.42857142857144</v>
      </c>
    </row>
    <row r="19" spans="1:13" x14ac:dyDescent="0.3">
      <c r="A19" t="s">
        <v>8394</v>
      </c>
      <c r="B19" s="23">
        <f>MEDIAN(IF((Kickstarter!$G:$G=$G$2), Kickstarter!$E:$E ))</f>
        <v>0</v>
      </c>
      <c r="C19" s="23">
        <f>MEDIAN(IF((Kickstarter!$G:$G=$G$2), IF((Kickstarter!$F:$F="successful"), Kickstarter!$E:$E ) ))</f>
        <v>0</v>
      </c>
      <c r="D19" s="23">
        <f t="array" ref="D19">MEDIAN(IF((Kickstarter!$G:$G=$G$2), IF((Kickstarter!$F:$F="failed"), Kickstarter!$E:$E ) ))</f>
        <v>100</v>
      </c>
      <c r="E19" s="23">
        <f t="array" ref="E19">MEDIAN(IF((Kickstarter!$G:$G=$G$2), IF((Kickstarter!$R:$R="plays"), Kickstarter!$E:$E ) ))</f>
        <v>1742</v>
      </c>
      <c r="F19" s="23">
        <f t="array" ref="F19">MEDIAN(IF((Kickstarter!$G:$G=$G$2), IF((Kickstarter!$R:$R="plays"), IF((Kickstarter!$F:$F="successful"), Kickstarter!$E:$E ) ) ))</f>
        <v>3167.5</v>
      </c>
      <c r="G19" s="23">
        <f t="array" ref="G19">MEDIAN(IF((Kickstarter!$G:$G=$G$2), IF((Kickstarter!$R:$R="plays"), IF((Kickstarter!$F:$F="failed"), Kickstarter!$E:$E ) ) ))</f>
        <v>103</v>
      </c>
      <c r="H19" s="23" cm="1">
        <f t="array" ref="H19">MEDIAN(IF((Kickstarter!$G:$G=$G$2), IF((Kickstarter!$D:$D=$D$2), Kickstarter!$E:$E ) ))</f>
        <v>7147.5</v>
      </c>
      <c r="I19" s="23" cm="1">
        <f t="array" ref="I19">MEDIAN(IF((Kickstarter!$G:$G=$G$2), IF((Kickstarter!$D:$D=$D$2), IF((Kickstarter!$F:$F="successful"), Kickstarter!$E:$E ) )))</f>
        <v>11230.25</v>
      </c>
      <c r="J19" s="23" cm="1">
        <f t="array" ref="J19">MEDIAN(IF((Kickstarter!$G:$G=$G$2), IF((Kickstarter!$D:$D=$D$2), IF((Kickstarter!$F:$F="failed"), Kickstarter!$E:$E ) )))</f>
        <v>79</v>
      </c>
      <c r="K19" s="23" cm="1">
        <f t="array" ref="K19">MEDIAN(IF((Kickstarter!$G:$G=$G$2),IF((Kickstarter!$D:$D=$D$2),IF((Kickstarter!$R:$R=$I$2),Kickstarter!$E:$E))))</f>
        <v>10100</v>
      </c>
      <c r="L19" s="23" cm="1">
        <f t="array" ref="L19">MEDIAN(IF((Kickstarter!$G:$G=$G$2),IF((Kickstarter!$D:$D=$D$2),IF((Kickstarter!$F:$F="successful"),IF((Kickstarter!$R:$R=$I$2),Kickstarter!$E:$E)))))</f>
        <v>10497.5</v>
      </c>
      <c r="M19" s="23" cm="1">
        <f t="array" ref="M19">MEDIAN(IF((Kickstarter!$G:$G=$G$2),IF((Kickstarter!$D:$D=$D$2),IF((Kickstarter!$F:$F="failed"),IF((Kickstarter!$R:$R=$I$2),Kickstarter!$E:$E)))))</f>
        <v>199</v>
      </c>
    </row>
    <row r="20" spans="1:13" x14ac:dyDescent="0.3">
      <c r="A20" t="s">
        <v>8383</v>
      </c>
      <c r="B20" s="23">
        <f>_xlfn.STDEV.P(IF((Kickstarter!$G:$G=$G$2), Kickstarter!$E:$E ))</f>
        <v>58768.535972880702</v>
      </c>
      <c r="C20" s="23">
        <f>_xlfn.STDEV.P(IF((Kickstarter!$G:$G=$G$2), IF((Kickstarter!$F:$F="successful"), Kickstarter!$E:$E ) ))</f>
        <v>58768.535972880702</v>
      </c>
      <c r="D20" s="23">
        <f t="array" ref="D20">_xlfn.STDEV.P(IF((Kickstarter!$G:$G=$G$2), IF((Kickstarter!$F:$F="failed"), Kickstarter!$E:$E ) ))</f>
        <v>6166.4644879023208</v>
      </c>
      <c r="E20" s="23">
        <f t="array" ref="E20">_xlfn.STDEV.P(IF((Kickstarter!$G:$G=$G$2), IF((Kickstarter!$R:$R="plays"), Kickstarter!$E:$E ) ))</f>
        <v>7042.475851784011</v>
      </c>
      <c r="F20" s="23">
        <f t="array" ref="F20">_xlfn.STDEV.P(IF((Kickstarter!$G:$G=$G$2), IF((Kickstarter!$R:$R="plays"), IF((Kickstarter!$F:$F="successful"), Kickstarter!$E:$E ) ) ))</f>
        <v>8334.5731699164608</v>
      </c>
      <c r="G20" s="23">
        <f t="array" ref="G20">_xlfn.STDEV.P(IF((Kickstarter!$G:$G=$G$2), IF((Kickstarter!$R:$R="plays"), IF((Kickstarter!$F:$F="failed"), Kickstarter!$E:$E ) ) ))</f>
        <v>1330.5230280400915</v>
      </c>
      <c r="H20" s="23" cm="1">
        <f t="array" ref="H20">_xlfn.STDEV.P(IF((Kickstarter!$G:$G=$G$2), IF((Kickstarter!$D:$D=$D$2), Kickstarter!$E:$E ) ))</f>
        <v>20021.08354449887</v>
      </c>
      <c r="I20" s="23" cm="1">
        <f t="array" ref="I20">_xlfn.STDEV.P(IF((Kickstarter!$G:$G=$G$2), IF((Kickstarter!$D:$D=$D$2), IF((Kickstarter!$F:$F="successful"), Kickstarter!$E:$E ) )))</f>
        <v>25303.452861263537</v>
      </c>
      <c r="J20" s="23" cm="1">
        <f t="array" ref="J20">_xlfn.STDEV.P(IF((Kickstarter!$G:$G=$G$2), IF((Kickstarter!$D:$D=$D$2), IF((Kickstarter!$F:$F="failed"), Kickstarter!$E:$E ) )))</f>
        <v>1306.6677123671573</v>
      </c>
      <c r="K20" s="23" cm="1">
        <f t="array" ref="K20">_xlfn.STDEV.P(IF((Kickstarter!$G:$G=$G$2),IF((Kickstarter!$D:$D=$D$2),IF((Kickstarter!$R:$R=$I$2),Kickstarter!$E:$E))))</f>
        <v>5161.8955393876149</v>
      </c>
      <c r="L20" s="23" cm="1">
        <f t="array" ref="L20">_xlfn.STDEV.P(IF((Kickstarter!$G:$G=$G$2),IF((Kickstarter!$D:$D=$D$2),IF((Kickstarter!$F:$F="successful"),IF((Kickstarter!$R:$R=$I$2),Kickstarter!$E:$E)))))</f>
        <v>1312.7313164794916</v>
      </c>
      <c r="M20" s="23" cm="1">
        <f t="array" ref="M20">_xlfn.STDEV.P(IF((Kickstarter!$G:$G=$G$2),IF((Kickstarter!$D:$D=$D$2),IF((Kickstarter!$F:$F="failed"),IF((Kickstarter!$R:$R=$I$2),Kickstarter!$E:$E)))))</f>
        <v>992.07003743872508</v>
      </c>
    </row>
    <row r="21" spans="1:13" x14ac:dyDescent="0.3">
      <c r="A21" t="s">
        <v>8384</v>
      </c>
      <c r="B21" s="23" cm="1">
        <f t="array" ref="B21">_xlfn.QUARTILE.EXC(IF((Kickstarter!$G:$G=$G$2), Kickstarter!$E:$E), 1)</f>
        <v>141.75</v>
      </c>
      <c r="C21" s="23" cm="1">
        <f t="array" ref="C21">_xlfn.QUARTILE.EXC(IF((Kickstarter!$G:$G=$G$2), IF((Kickstarter!$F:$F="successful"), Kickstarter!$E:$E)), 1)</f>
        <v>2119.9899999999998</v>
      </c>
      <c r="D21" s="23" cm="1">
        <f t="array" ref="D21">_xlfn.QUARTILE.EXC(IF((Kickstarter!$G:$G=$G$2), IF((Kickstarter!$F:$F="failed"), Kickstarter!$E:$E)), 1)</f>
        <v>5</v>
      </c>
      <c r="E21" s="23" cm="1">
        <f t="array" ref="E21">_xlfn.QUARTILE.EXC(IF((Kickstarter!$G:$G=$G$2), IF((Kickstarter!$R:$R="plays"), Kickstarter!$E:$E)), 1)</f>
        <v>251</v>
      </c>
      <c r="F21" s="23">
        <f t="array" ref="F21">_xlfn.QUARTILE.EXC(IF((Kickstarter!$G:$G=$G$2), IF((Kickstarter!$R:$R="plays"), IF((Kickstarter!$F:$F="successful"), Kickstarter!$E:$E ) ) ), 1)</f>
        <v>1716.5074999999999</v>
      </c>
      <c r="G21" s="23">
        <f t="array" ref="G21">_xlfn.QUARTILE.EXC(IF((Kickstarter!$G:$G=$G$2), IF((Kickstarter!$R:$R="plays"), IF((Kickstarter!$F:$F="failed"), Kickstarter!$E:$E ) ) ), 1)</f>
        <v>9.25</v>
      </c>
      <c r="H21" s="23" cm="1">
        <f t="array" ref="H21">_xlfn.QUARTILE.EXC(IF((Kickstarter!$G:$G=$G$2), IF((Kickstarter!$D:$D=$D$2), Kickstarter!$E:$E ) ), 1)</f>
        <v>82.75</v>
      </c>
      <c r="I21" s="23" cm="1">
        <f t="array" ref="I21">_xlfn.QUARTILE.EXC(IF((Kickstarter!$G:$G=$G$2), IF((Kickstarter!$D:$D=$D$2), IF((Kickstarter!$F:$F="successful"), Kickstarter!$E:$E ) )), 1)</f>
        <v>10300</v>
      </c>
      <c r="J21" s="23" cm="1">
        <f t="array" ref="J21">_xlfn.QUARTILE.EXC(IF((Kickstarter!$G:$G=$G$2), IF((Kickstarter!$D:$D=$D$2), IF((Kickstarter!$F:$F="failed"), Kickstarter!$E:$E ) )), 1)</f>
        <v>0</v>
      </c>
      <c r="K21" s="23" cm="1">
        <f t="array" ref="K21">_xlfn.QUARTILE.EXC(IF((Kickstarter!$G:$G=$G$2),IF((Kickstarter!$D:$D=$D$2),IF((Kickstarter!$R:$R=$I$2),Kickstarter!$E:$E))), 1)</f>
        <v>485.5</v>
      </c>
      <c r="L21" s="23" cm="1">
        <f t="array" ref="L21">_xlfn.QUARTILE.EXC(IF((Kickstarter!$G:$G=$G$2),IF((Kickstarter!$D:$D=$D$2),IF((Kickstarter!$F:$F="successful"),IF((Kickstarter!$R:$R=$I$2),Kickstarter!$E:$E)))), 1)</f>
        <v>10138.75</v>
      </c>
      <c r="M21" s="23" cm="1">
        <f t="array" ref="M21">_xlfn.QUARTILE.EXC(IF((Kickstarter!$G:$G=$G$2),IF((Kickstarter!$D:$D=$D$2),IF((Kickstarter!$F:$F="failed"),IF((Kickstarter!$R:$R=$I$2),Kickstarter!$E:$E)))), 1)</f>
        <v>15.75</v>
      </c>
    </row>
    <row r="22" spans="1:13" x14ac:dyDescent="0.3">
      <c r="A22" t="s">
        <v>8385</v>
      </c>
      <c r="B22" s="23">
        <f t="array" ref="B22">_xlfn.QUARTILE.EXC(IF((Kickstarter!$G:$G=$G$2), Kickstarter!$E:$E ), 3)</f>
        <v>6685.75</v>
      </c>
      <c r="C22" s="23">
        <f t="array" ref="C22">_xlfn.QUARTILE.EXC(IF((Kickstarter!$G:$G=$G$2), IF((Kickstarter!$F:$F="successful"), Kickstarter!$E:$E ) ), 3)</f>
        <v>13293.8</v>
      </c>
      <c r="D22" s="23">
        <f t="array" ref="D22">_xlfn.QUARTILE.EXC(IF((Kickstarter!$G:$G=$G$2), IF((Kickstarter!$F:$F="failed"), Kickstarter!$E:$E ) ), 3)</f>
        <v>731.75</v>
      </c>
      <c r="E22" s="23">
        <f t="array" ref="E22">_xlfn.QUARTILE.EXC(IF((Kickstarter!$G:$G=$G$2), IF((Kickstarter!$R:$R="plays"), Kickstarter!$E:$E ) ), 3)</f>
        <v>4018</v>
      </c>
      <c r="F22" s="23">
        <f t="array" ref="F22">_xlfn.QUARTILE.EXC(IF((Kickstarter!$G:$G=$G$2), IF((Kickstarter!$R:$R="plays"), IF((Kickstarter!$F:$F="successful"), Kickstarter!$E:$E ) ) ), 3)</f>
        <v>5699</v>
      </c>
      <c r="G22" s="23">
        <f t="array" ref="G22">_xlfn.QUARTILE.EXC(IF((Kickstarter!$G:$G=$G$2), IF((Kickstarter!$R:$R="plays"), IF((Kickstarter!$F:$F="failed"), Kickstarter!$E:$E ) ) ), 3)</f>
        <v>501</v>
      </c>
      <c r="H22" s="23" cm="1">
        <f t="array" ref="H22">_xlfn.QUARTILE.EXC(IF((Kickstarter!$G:$G=$G$2), IF((Kickstarter!$D:$D=$D$2), Kickstarter!$E:$E ) ), 3)</f>
        <v>11212.6875</v>
      </c>
      <c r="I22" s="23" cm="1">
        <f t="array" ref="I22">_xlfn.QUARTILE.EXC(IF((Kickstarter!$G:$G=$G$2), IF((Kickstarter!$D:$D=$D$2), IF((Kickstarter!$F:$F="successful"), Kickstarter!$E:$E ) )), 3)</f>
        <v>14511</v>
      </c>
      <c r="J22" s="23" cm="1">
        <f t="array" ref="J22">_xlfn.QUARTILE.EXC(IF((Kickstarter!$G:$G=$G$2), IF((Kickstarter!$D:$D=$D$2), IF((Kickstarter!$F:$F="failed"), Kickstarter!$E:$E ) )), 3)</f>
        <v>622.75</v>
      </c>
      <c r="K22" s="23" cm="1">
        <f t="array" ref="K22">_xlfn.QUARTILE.EXC(IF((Kickstarter!$G:$G=$G$2),IF((Kickstarter!$D:$D=$D$2),IF((Kickstarter!$R:$R=$I$2),Kickstarter!$E:$E))), 3)</f>
        <v>10664.5</v>
      </c>
      <c r="L22" s="23" cm="1">
        <f t="array" ref="L22">_xlfn.QUARTILE.EXC(IF((Kickstarter!$G:$G=$G$2),IF((Kickstarter!$D:$D=$D$2),IF((Kickstarter!$F:$F="successful"),IF((Kickstarter!$R:$R=$I$2),Kickstarter!$E:$E)))), 3)</f>
        <v>11996</v>
      </c>
      <c r="M22" s="23" cm="1">
        <f t="array" ref="M22">_xlfn.QUARTILE.EXC(IF((Kickstarter!$G:$G=$G$2),IF((Kickstarter!$D:$D=$D$2),IF((Kickstarter!$F:$F="failed"),IF((Kickstarter!$R:$R=$I$2),Kickstarter!$E:$E)))), 3)</f>
        <v>904</v>
      </c>
    </row>
    <row r="23" spans="1:13" x14ac:dyDescent="0.3">
      <c r="A23" t="s">
        <v>8395</v>
      </c>
      <c r="B23" s="23">
        <f t="shared" ref="B23:M23" si="6">B22-B21</f>
        <v>6544</v>
      </c>
      <c r="C23" s="23">
        <f t="shared" si="6"/>
        <v>11173.81</v>
      </c>
      <c r="D23" s="23">
        <f t="shared" si="6"/>
        <v>726.75</v>
      </c>
      <c r="E23" s="23">
        <f t="shared" si="6"/>
        <v>3767</v>
      </c>
      <c r="F23" s="23">
        <f t="shared" si="6"/>
        <v>3982.4925000000003</v>
      </c>
      <c r="G23" s="23">
        <f t="shared" si="6"/>
        <v>491.75</v>
      </c>
      <c r="H23" s="23">
        <f t="shared" si="6"/>
        <v>11129.9375</v>
      </c>
      <c r="I23" s="23">
        <f t="shared" si="6"/>
        <v>4211</v>
      </c>
      <c r="J23" s="23">
        <f t="shared" si="6"/>
        <v>622.75</v>
      </c>
      <c r="K23" s="23">
        <f t="shared" si="6"/>
        <v>10179</v>
      </c>
      <c r="L23" s="23">
        <f t="shared" si="6"/>
        <v>1857.25</v>
      </c>
      <c r="M23" s="23">
        <f t="shared" si="6"/>
        <v>888.25</v>
      </c>
    </row>
    <row r="24" spans="1:13" x14ac:dyDescent="0.3">
      <c r="A24" s="13" t="s">
        <v>8443</v>
      </c>
      <c r="B24" s="27">
        <f>AVERAGEIFS(Kickstarter!$L:$L, Kickstarter!$G:$G, $G$2)</f>
        <v>122.17248189598421</v>
      </c>
      <c r="C24" s="27">
        <f>AVERAGEIFS(Kickstarter!$L:$L, Kickstarter!$G:$G, $G$2, Kickstarter!$F:$F, "successful")</f>
        <v>207.60629921259843</v>
      </c>
      <c r="D24" s="27">
        <f>AVERAGEIFS(Kickstarter!$L:$L, Kickstarter!$G:$G, $G$2, Kickstarter!$F:$F, "failed")</f>
        <v>16.299908842297175</v>
      </c>
      <c r="E24" s="27">
        <f>AVERAGEIFS(Kickstarter!$L:$L, Kickstarter!$R:$R, "plays", Kickstarter!$G:$G, $G$2)</f>
        <v>41.89865871833085</v>
      </c>
      <c r="F24" s="27">
        <f>AVERAGEIFS(Kickstarter!$L:$L, Kickstarter!$F:$F, "successful", Kickstarter!$R:$R, "plays", Kickstarter!$G:$G, $G$2)</f>
        <v>63.092233009708735</v>
      </c>
      <c r="G24" s="27">
        <f>AVERAGEIFS(Kickstarter!$L:$L, Kickstarter!$F:$F, "failed", Kickstarter!$R:$R, "plays", Kickstarter!$G:$G, $G$2)</f>
        <v>7.7880000000000003</v>
      </c>
      <c r="H24" s="27">
        <f>AVERAGEIFS(Kickstarter!$L:$L, Kickstarter!$D:$D, $D$2, Kickstarter!$G:$G, $G$2)</f>
        <v>119.30978260869566</v>
      </c>
      <c r="I24" s="27">
        <f>AVERAGEIFS(Kickstarter!$L:$L, Kickstarter!$D:$D, $D$2, Kickstarter!$G:$G, $G$2, Kickstarter!$F:$F, "successful")</f>
        <v>230.87912087912088</v>
      </c>
      <c r="J24" s="27">
        <f>AVERAGEIFS(Kickstarter!$L:$L, Kickstarter!$D:$D, $D$2, Kickstarter!$G:$G, $G$2, Kickstarter!$F:$F, "failed")</f>
        <v>10.191176470588236</v>
      </c>
      <c r="K24" s="27">
        <f>AVERAGEIFS(Kickstarter!$L:$L, Kickstarter!$D:$D, $D$2, Kickstarter!$G:$G, $G$2, Kickstarter!$R:$R, $I$2)</f>
        <v>72.25</v>
      </c>
      <c r="L24" s="27">
        <f>AVERAGEIFS(Kickstarter!$L:$L, Kickstarter!$D:$D, $D$2, Kickstarter!$G:$G, $G$2, Kickstarter!$F:$F, "successful", Kickstarter!$R:$R, $I$2)</f>
        <v>114.16666666666667</v>
      </c>
      <c r="M24" s="27">
        <f>AVERAGEIFS(Kickstarter!$L:$L, Kickstarter!$D:$D, $D$2, Kickstarter!$G:$G, $G$2, Kickstarter!$F:$F, "failed", Kickstarter!$R:$R, $I$2)</f>
        <v>8.2857142857142865</v>
      </c>
    </row>
    <row r="25" spans="1:13" x14ac:dyDescent="0.3">
      <c r="A25" s="13" t="s">
        <v>8444</v>
      </c>
      <c r="B25" s="27">
        <f>MEDIAN(IF((Kickstarter!$G:$G=$G$2), Kickstarter!$L:$L ))</f>
        <v>25</v>
      </c>
      <c r="C25" s="27">
        <f>MEDIAN(IF((Kickstarter!$G:$G=$G$2), IF((Kickstarter!$F:$F="successful"), Kickstarter!$L:$L ) ))</f>
        <v>25</v>
      </c>
      <c r="D25" s="27">
        <f t="array" ref="D25">MEDIAN(IF((Kickstarter!$G:$G=$G$2), IF((Kickstarter!$F:$F="failed"), Kickstarter!$L:$L ) ))</f>
        <v>4</v>
      </c>
      <c r="E25" s="27">
        <f t="array" ref="E25">MEDIAN(IF((Kickstarter!$G:$G=$G$2), IF((Kickstarter!$R:$R="plays"), Kickstarter!$L:$L ) ))</f>
        <v>23</v>
      </c>
      <c r="F25" s="27">
        <f t="array" ref="F25">MEDIAN(IF((Kickstarter!$G:$G=$G$2), IF((Kickstarter!$R:$R="plays"), IF((Kickstarter!$F:$F="successful"), Kickstarter!$L:$L ) ) ))</f>
        <v>41</v>
      </c>
      <c r="G25" s="27">
        <f t="array" ref="G25">MEDIAN(IF((Kickstarter!$G:$G=$G$2), IF((Kickstarter!$R:$R="plays"), IF((Kickstarter!$F:$F="failed"), Kickstarter!$L:$L ) ) ))</f>
        <v>4</v>
      </c>
      <c r="H25" s="27" cm="1">
        <f t="array" ref="H25">MEDIAN(IF((Kickstarter!$G:$G=$G$2), IF((Kickstarter!$D:$D=$D$2), Kickstarter!$L:$L ) ))</f>
        <v>43</v>
      </c>
      <c r="I25" s="27" cm="1">
        <f t="array" ref="I25">MEDIAN(IF((Kickstarter!$G:$G=$G$2), IF((Kickstarter!$D:$D=$D$2), IF((Kickstarter!$F:$F="successful"), Kickstarter!$L:$L ) )))</f>
        <v>134</v>
      </c>
      <c r="J25" s="27" cm="1">
        <f t="array" ref="J25">MEDIAN(IF((Kickstarter!$G:$G=$G$2), IF((Kickstarter!$D:$D=$D$2), IF((Kickstarter!$F:$F="failed"), Kickstarter!$L:$L ) )))</f>
        <v>3</v>
      </c>
      <c r="K25" s="27" cm="1">
        <f t="array" ref="K25">MEDIAN(IF((Kickstarter!$G:$G=$G$2),IF((Kickstarter!$D:$D=$D$2),IF((Kickstarter!$R:$R=$I$2),Kickstarter!$L:$L))))</f>
        <v>72</v>
      </c>
      <c r="L25" s="27" cm="1">
        <f t="array" ref="L25">MEDIAN(IF((Kickstarter!$G:$G=$G$2),IF((Kickstarter!$D:$D=$D$2),IF((Kickstarter!$F:$F="successful"),IF((Kickstarter!$R:$R=$I$2),Kickstarter!$L:$L)))))</f>
        <v>100</v>
      </c>
      <c r="M25" s="27" cm="1">
        <f t="array" ref="M25">MEDIAN(IF((Kickstarter!$G:$G=$G$2),IF((Kickstarter!$D:$D=$D$2),IF((Kickstarter!$F:$F="failed"),IF((Kickstarter!$R:$R=$I$2),Kickstarter!$L:$L)))))</f>
        <v>4</v>
      </c>
    </row>
    <row r="26" spans="1:13" x14ac:dyDescent="0.3">
      <c r="A26" t="s">
        <v>8383</v>
      </c>
      <c r="B26" s="27">
        <f>_xlfn.STDEV.P(IF((Kickstarter!$G:$G=$G$2), Kickstarter!$L:$L ))</f>
        <v>623.51211859623334</v>
      </c>
      <c r="C26" s="27">
        <f>_xlfn.STDEV.P(IF((Kickstarter!$G:$G=$G$2), IF((Kickstarter!$F:$F="successful"), Kickstarter!$L:$L ) ))</f>
        <v>623.51211859623334</v>
      </c>
      <c r="D26" s="27">
        <f t="array" ref="D26">_xlfn.STDEV.P(IF((Kickstarter!$G:$G=$G$2), IF((Kickstarter!$F:$F="failed"), Kickstarter!$L:$L ) ))</f>
        <v>51.432659285661792</v>
      </c>
      <c r="E26" s="27">
        <f t="array" ref="E26">_xlfn.STDEV.P(IF((Kickstarter!$G:$G=$G$2), IF((Kickstarter!$R:$R="plays"), Kickstarter!$L:$L ) ))</f>
        <v>65.501380615850252</v>
      </c>
      <c r="F26" s="27">
        <f t="array" ref="F26">_xlfn.STDEV.P(IF((Kickstarter!$G:$G=$G$2), IF((Kickstarter!$R:$R="plays"), IF((Kickstarter!$F:$F="successful"), Kickstarter!$L:$L ) ) ))</f>
        <v>75.089307590569405</v>
      </c>
      <c r="G26" s="27">
        <f t="array" ref="G26">_xlfn.STDEV.P(IF((Kickstarter!$G:$G=$G$2), IF((Kickstarter!$R:$R="plays"), IF((Kickstarter!$F:$F="failed"), Kickstarter!$L:$L ) ) ))</f>
        <v>15.976453173342323</v>
      </c>
      <c r="H26" s="27" cm="1">
        <f t="array" ref="H26">_xlfn.STDEV.P(IF((Kickstarter!$G:$G=$G$2), IF((Kickstarter!$D:$D=$D$2), Kickstarter!$L:$L ) ))</f>
        <v>300.18752601310035</v>
      </c>
      <c r="I26" s="27" cm="1">
        <f t="array" ref="I26">_xlfn.STDEV.P(IF((Kickstarter!$G:$G=$G$2), IF((Kickstarter!$D:$D=$D$2), IF((Kickstarter!$F:$F="successful"), Kickstarter!$L:$L ) )))</f>
        <v>396.49491315459386</v>
      </c>
      <c r="J26" s="27" cm="1">
        <f t="array" ref="J26">_xlfn.STDEV.P(IF((Kickstarter!$G:$G=$G$2), IF((Kickstarter!$D:$D=$D$2), IF((Kickstarter!$F:$F="failed"), Kickstarter!$L:$L ) )))</f>
        <v>20.73236837932215</v>
      </c>
      <c r="K26" s="27" cm="1">
        <f t="array" ref="K26">_xlfn.STDEV.P(IF((Kickstarter!$G:$G=$G$2),IF((Kickstarter!$D:$D=$D$2),IF((Kickstarter!$R:$R=$I$2),Kickstarter!$L:$L))))</f>
        <v>62.820677328408358</v>
      </c>
      <c r="L26" s="27" cm="1">
        <f t="array" ref="L26">_xlfn.STDEV.P(IF((Kickstarter!$G:$G=$G$2),IF((Kickstarter!$D:$D=$D$2),IF((Kickstarter!$F:$F="successful"),IF((Kickstarter!$R:$R=$I$2),Kickstarter!$L:$L)))))</f>
        <v>45.958918853931088</v>
      </c>
      <c r="M26" s="27" cm="1">
        <f t="array" ref="M26">_xlfn.STDEV.P(IF((Kickstarter!$G:$G=$G$2),IF((Kickstarter!$D:$D=$D$2),IF((Kickstarter!$F:$F="failed"),IF((Kickstarter!$R:$R=$I$2),Kickstarter!$L:$L)))))</f>
        <v>9.5351123405515672</v>
      </c>
    </row>
    <row r="27" spans="1:13" x14ac:dyDescent="0.3">
      <c r="A27" t="s">
        <v>8446</v>
      </c>
      <c r="B27" s="27" cm="1">
        <f t="array" ref="B27">_xlfn.QUARTILE.EXC(IF((Kickstarter!$G:$G=$G$2), Kickstarter!$L:$L), 1)</f>
        <v>4</v>
      </c>
      <c r="C27" s="27" cm="1">
        <f t="array" ref="C27">_xlfn.QUARTILE.EXC(IF((Kickstarter!$G:$G=$G$2), IF((Kickstarter!$F:$F="successful"), Kickstarter!$L:$L)), 1)</f>
        <v>31</v>
      </c>
      <c r="D27" s="27" cm="1">
        <f t="array" ref="D27">_xlfn.QUARTILE.EXC(IF((Kickstarter!$G:$G=$G$2), IF((Kickstarter!$F:$F="failed"), Kickstarter!$L:$L)), 1)</f>
        <v>1</v>
      </c>
      <c r="E27" s="27" cm="1">
        <f t="array" ref="E27">_xlfn.QUARTILE.EXC(IF((Kickstarter!$G:$G=$G$2), IF((Kickstarter!$R:$R="plays"), Kickstarter!$L:$L)), 1)</f>
        <v>6</v>
      </c>
      <c r="F27" s="27">
        <f t="array" ref="F27">_xlfn.QUARTILE.EXC(IF((Kickstarter!$G:$G=$G$2), IF((Kickstarter!$R:$R="plays"), IF((Kickstarter!$F:$F="successful"), Kickstarter!$L:$L ) ) ), 1)</f>
        <v>23</v>
      </c>
      <c r="G27" s="27">
        <f t="array" ref="G27">_xlfn.QUARTILE.EXC(IF((Kickstarter!$G:$G=$G$2), IF((Kickstarter!$R:$R="plays"), IF((Kickstarter!$F:$F="failed"), Kickstarter!$L:$L ) ) ), 1)</f>
        <v>1</v>
      </c>
      <c r="H27" s="27" cm="1">
        <f t="array" ref="H27">_xlfn.QUARTILE.EXC(IF((Kickstarter!$G:$G=$G$2), IF((Kickstarter!$D:$D=$D$2), Kickstarter!$L:$L ) ), 1)</f>
        <v>3</v>
      </c>
      <c r="I27" s="27" cm="1">
        <f t="array" ref="I27">_xlfn.QUARTILE.EXC(IF((Kickstarter!$G:$G=$G$2), IF((Kickstarter!$D:$D=$D$2), IF((Kickstarter!$F:$F="successful"), Kickstarter!$L:$L ) )), 1)</f>
        <v>88</v>
      </c>
      <c r="J27" s="27" cm="1">
        <f t="array" ref="J27">_xlfn.QUARTILE.EXC(IF((Kickstarter!$G:$G=$G$2), IF((Kickstarter!$D:$D=$D$2), IF((Kickstarter!$F:$F="failed"), Kickstarter!$L:$L ) )), 1)</f>
        <v>0</v>
      </c>
      <c r="K27" s="27" cm="1">
        <f t="array" ref="K27">_xlfn.QUARTILE.EXC(IF((Kickstarter!$G:$G=$G$2),IF((Kickstarter!$D:$D=$D$2),IF((Kickstarter!$R:$R=$I$2),Kickstarter!$L:$L))), 1)</f>
        <v>7.5</v>
      </c>
      <c r="L27" s="27" cm="1">
        <f t="array" ref="L27">_xlfn.QUARTILE.EXC(IF((Kickstarter!$G:$G=$G$2),IF((Kickstarter!$D:$D=$D$2),IF((Kickstarter!$F:$F="successful"),IF((Kickstarter!$R:$R=$I$2),Kickstarter!$L:$L)))), 1)</f>
        <v>74</v>
      </c>
      <c r="M27" s="27" cm="1">
        <f t="array" ref="M27">_xlfn.QUARTILE.EXC(IF((Kickstarter!$G:$G=$G$2),IF((Kickstarter!$D:$D=$D$2),IF((Kickstarter!$F:$F="failed"),IF((Kickstarter!$R:$R=$I$2),Kickstarter!$L:$L)))), 1)</f>
        <v>2</v>
      </c>
    </row>
    <row r="28" spans="1:13" x14ac:dyDescent="0.3">
      <c r="A28" t="s">
        <v>8447</v>
      </c>
      <c r="B28" s="27">
        <f t="array" ref="B28">_xlfn.QUARTILE.EXC(IF((Kickstarter!$G:$G=$G$2), Kickstarter!$L:$L ), 3)</f>
        <v>83.25</v>
      </c>
      <c r="C28" s="27">
        <f t="array" ref="C28">_xlfn.QUARTILE.EXC(IF((Kickstarter!$G:$G=$G$2), IF((Kickstarter!$F:$F="successful"), Kickstarter!$L:$L ) ), 3)</f>
        <v>157</v>
      </c>
      <c r="D28" s="27">
        <f t="array" ref="D28">_xlfn.QUARTILE.EXC(IF((Kickstarter!$G:$G=$G$2), IF((Kickstarter!$F:$F="failed"), Kickstarter!$L:$L ) ), 3)</f>
        <v>12</v>
      </c>
      <c r="E28" s="27">
        <f t="array" ref="E28">_xlfn.QUARTILE.EXC(IF((Kickstarter!$G:$G=$G$2), IF((Kickstarter!$R:$R="plays"), Kickstarter!$L:$L ) ), 3)</f>
        <v>54</v>
      </c>
      <c r="F28" s="27">
        <f t="array" ref="F28">_xlfn.QUARTILE.EXC(IF((Kickstarter!$G:$G=$G$2), IF((Kickstarter!$R:$R="plays"), IF((Kickstarter!$F:$F="successful"), Kickstarter!$L:$L ) ) ), 3)</f>
        <v>72.75</v>
      </c>
      <c r="G28" s="27">
        <f t="array" ref="G28">_xlfn.QUARTILE.EXC(IF((Kickstarter!$G:$G=$G$2), IF((Kickstarter!$R:$R="plays"), IF((Kickstarter!$F:$F="failed"), Kickstarter!$L:$L ) ) ), 3)</f>
        <v>8.25</v>
      </c>
      <c r="H28" s="27" cm="1">
        <f t="array" ref="H28">_xlfn.QUARTILE.EXC(IF((Kickstarter!$G:$G=$G$2), IF((Kickstarter!$D:$D=$D$2), Kickstarter!$L:$L ) ), 3)</f>
        <v>136.25</v>
      </c>
      <c r="I28" s="27" cm="1">
        <f t="array" ref="I28">_xlfn.QUARTILE.EXC(IF((Kickstarter!$G:$G=$G$2), IF((Kickstarter!$D:$D=$D$2), IF((Kickstarter!$F:$F="successful"), Kickstarter!$L:$L ) )), 3)</f>
        <v>190</v>
      </c>
      <c r="J28" s="27" cm="1">
        <f t="array" ref="J28">_xlfn.QUARTILE.EXC(IF((Kickstarter!$G:$G=$G$2), IF((Kickstarter!$D:$D=$D$2), IF((Kickstarter!$F:$F="failed"), Kickstarter!$L:$L ) )), 3)</f>
        <v>9</v>
      </c>
      <c r="K28" s="27" cm="1">
        <f t="array" ref="K28">_xlfn.QUARTILE.EXC(IF((Kickstarter!$G:$G=$G$2),IF((Kickstarter!$D:$D=$D$2),IF((Kickstarter!$R:$R=$I$2),Kickstarter!$L:$L))), 3)</f>
        <v>121.5</v>
      </c>
      <c r="L28" s="27" cm="1">
        <f t="array" ref="L28">_xlfn.QUARTILE.EXC(IF((Kickstarter!$G:$G=$G$2),IF((Kickstarter!$D:$D=$D$2),IF((Kickstarter!$F:$F="successful"),IF((Kickstarter!$R:$R=$I$2),Kickstarter!$L:$L)))), 3)</f>
        <v>161</v>
      </c>
      <c r="M28" s="27" cm="1">
        <f t="array" ref="M28">_xlfn.QUARTILE.EXC(IF((Kickstarter!$G:$G=$G$2),IF((Kickstarter!$D:$D=$D$2),IF((Kickstarter!$F:$F="failed"),IF((Kickstarter!$R:$R=$I$2),Kickstarter!$L:$L)))), 3)</f>
        <v>10.75</v>
      </c>
    </row>
    <row r="29" spans="1:13" x14ac:dyDescent="0.3">
      <c r="A29" t="s">
        <v>8445</v>
      </c>
      <c r="B29" s="27">
        <f t="shared" ref="B29:M29" si="7">B28-B27</f>
        <v>79.25</v>
      </c>
      <c r="C29" s="27">
        <f t="shared" si="7"/>
        <v>126</v>
      </c>
      <c r="D29" s="27">
        <f t="shared" si="7"/>
        <v>11</v>
      </c>
      <c r="E29" s="27">
        <f t="shared" si="7"/>
        <v>48</v>
      </c>
      <c r="F29" s="27">
        <f t="shared" si="7"/>
        <v>49.75</v>
      </c>
      <c r="G29" s="27">
        <f t="shared" si="7"/>
        <v>7.25</v>
      </c>
      <c r="H29" s="27">
        <f t="shared" si="7"/>
        <v>133.25</v>
      </c>
      <c r="I29" s="27">
        <f t="shared" si="7"/>
        <v>102</v>
      </c>
      <c r="J29" s="27">
        <f t="shared" si="7"/>
        <v>9</v>
      </c>
      <c r="K29" s="27">
        <f t="shared" si="7"/>
        <v>114</v>
      </c>
      <c r="L29" s="27">
        <f t="shared" si="7"/>
        <v>87</v>
      </c>
      <c r="M29" s="27">
        <f t="shared" si="7"/>
        <v>8.75</v>
      </c>
    </row>
    <row r="30" spans="1:13" x14ac:dyDescent="0.3">
      <c r="A30" s="13" t="s">
        <v>8449</v>
      </c>
      <c r="B30" s="20">
        <f>COUNTIF(Kickstarter!$G:$G, "US")</f>
        <v>3038</v>
      </c>
      <c r="C30" s="20">
        <f>COUNTIFS(Kickstarter!$G:$G, "US", Kickstarter!$F:$F, "successful")</f>
        <v>1651</v>
      </c>
      <c r="D30" s="20">
        <f>COUNTIFS(Kickstarter!$G:$G, "US", Kickstarter!$F:$F, "failed")</f>
        <v>1097</v>
      </c>
      <c r="E30" s="20">
        <f>COUNTIFS(Kickstarter!$G:$G, "US", Kickstarter!$R:$R, "plays")</f>
        <v>671</v>
      </c>
      <c r="F30" s="20">
        <f>COUNTIFS(Kickstarter!$F:$F, "successful", Kickstarter!$G:$G, "US", Kickstarter!$R:$R, "plays")</f>
        <v>412</v>
      </c>
      <c r="G30" s="20">
        <f>COUNTIFS(Kickstarter!$F:$F, "failed", Kickstarter!$G:$G, "US", Kickstarter!$R:$R, "plays")</f>
        <v>250</v>
      </c>
      <c r="H30" s="20">
        <f>COUNTIFS(Kickstarter!$G:$G, "US", Kickstarter!$D:$D, "10000")</f>
        <v>184</v>
      </c>
      <c r="I30" s="20">
        <f>COUNTIFS(Kickstarter!$G:$G, "US", Kickstarter!$D:$D, "10000", Kickstarter!$F:$F, "successful")</f>
        <v>91</v>
      </c>
      <c r="J30" s="20">
        <f>COUNTIFS(Kickstarter!$G:$G, "US", Kickstarter!$D:$D, "10000", Kickstarter!$F:$F, "failed")</f>
        <v>68</v>
      </c>
      <c r="K30" s="20">
        <f>COUNTIFS(Kickstarter!$G:$G, "US", Kickstarter!$D:$D, "10000", Kickstarter!$R:$R, "plays")</f>
        <v>40</v>
      </c>
      <c r="L30" s="20">
        <f>COUNTIFS(Kickstarter!$G:$G, "US", Kickstarter!$D:$D, "10000", Kickstarter!$R:$R, "plays", Kickstarter!$F:$F, "successful")</f>
        <v>24</v>
      </c>
      <c r="M30" s="20">
        <f>COUNTIFS(Kickstarter!$G:$G, "US", Kickstarter!$D:$D, "10000", Kickstarter!$R:$R, "plays", Kickstarter!$F:$F, "failed")</f>
        <v>14</v>
      </c>
    </row>
    <row r="31" spans="1:13" x14ac:dyDescent="0.3">
      <c r="A31" s="13" t="s">
        <v>8432</v>
      </c>
      <c r="B31" s="25">
        <f>COUNTIFS(Kickstarter!$G:$G, "US", Kickstarter!$L:$L, "&gt;0")</f>
        <v>2751</v>
      </c>
      <c r="C31" s="25">
        <f>COUNTIFS(Kickstarter!$F:$F, "successful", Kickstarter!$L:$L, "&gt;0", Kickstarter!$G:$G, "US")</f>
        <v>1651</v>
      </c>
      <c r="D31" s="25">
        <f>COUNTIFS(Kickstarter!$F:$F, "failed", Kickstarter!$L:$L, "&gt;0", Kickstarter!$G:$G, "US")</f>
        <v>892</v>
      </c>
      <c r="E31" s="25">
        <f>COUNTIFS(Kickstarter!$L:$L, "&gt;0", Kickstarter!$R:$R, "plays", Kickstarter!$G:$G, "US")</f>
        <v>631</v>
      </c>
      <c r="F31" s="25">
        <f>COUNTIFS(Kickstarter!$L:$L, "&gt;0", Kickstarter!$R:$R, "plays", Kickstarter!$F:$F, "successful", Kickstarter!$G:$G, "US")</f>
        <v>412</v>
      </c>
      <c r="G31" s="25">
        <f>COUNTIFS(Kickstarter!$L:$L, "&gt;0", Kickstarter!$R:$R, "plays", Kickstarter!$F:$F, "failed", Kickstarter!$G:$G, "US")</f>
        <v>211</v>
      </c>
      <c r="H31" s="25">
        <f>COUNTIFS(Kickstarter!$L:$L, "&gt;0", Kickstarter!$G:$G, "US", Kickstarter!$D:$D, "10000")</f>
        <v>157</v>
      </c>
      <c r="I31" s="25">
        <f>COUNTIFS(Kickstarter!$L:$L, "&gt;0", Kickstarter!$G:$G, "US", Kickstarter!$D:$D, "10000", Kickstarter!$F:$F, "successful")</f>
        <v>91</v>
      </c>
      <c r="J31" s="25">
        <f>COUNTIFS(Kickstarter!$L:$L, "&gt;0", Kickstarter!$G:$G, "US", Kickstarter!$D:$D, "10000", Kickstarter!$F:$F, "failed")</f>
        <v>48</v>
      </c>
      <c r="K31" s="25">
        <f>COUNTIFS(Kickstarter!$L:$L, "&gt;0", Kickstarter!$G:$G, "US", Kickstarter!$D:$D, "10000", Kickstarter!$R:$R, "plays")</f>
        <v>39</v>
      </c>
      <c r="L31" s="25">
        <f>COUNTIFS(Kickstarter!$L:$L, "&gt;0", Kickstarter!$G:$G, "US", Kickstarter!$D:$D, "10000", Kickstarter!$R:$R, "plays", Kickstarter!$F:$F, "successful")</f>
        <v>24</v>
      </c>
      <c r="M31" s="25">
        <f>COUNTIFS(Kickstarter!$L:$L, "&gt;0", Kickstarter!$G:$G, "US", Kickstarter!$D:$D, "10000", Kickstarter!$R:$R, "plays", Kickstarter!$F:$F, "failed")</f>
        <v>13</v>
      </c>
    </row>
    <row r="32" spans="1:13" x14ac:dyDescent="0.3">
      <c r="A32" s="13" t="s">
        <v>8434</v>
      </c>
      <c r="B32" s="25">
        <f>COUNTIFS(Kickstarter!$G:$G, "US", Kickstarter!$L:$L, "&gt;10")</f>
        <v>1984</v>
      </c>
      <c r="C32" s="25">
        <f>COUNTIFS(Kickstarter!$F:$F, "successful", Kickstarter!$L:$L, "&gt;10", Kickstarter!$G:$G, "US")</f>
        <v>1593</v>
      </c>
      <c r="D32" s="25">
        <f>COUNTIFS(Kickstarter!$F:$F, "failed", Kickstarter!$L:$L, "&gt;10", Kickstarter!$G:$G, "US")</f>
        <v>303</v>
      </c>
      <c r="E32" s="25">
        <f>COUNTIFS(Kickstarter!$L:$L, "&gt;10", Kickstarter!$R:$R, "plays", Kickstarter!$G:$G, "US")</f>
        <v>441</v>
      </c>
      <c r="F32" s="25">
        <f>COUNTIFS(Kickstarter!$L:$L, "&gt;10", Kickstarter!$R:$R, "plays", Kickstarter!$F:$F, "successful", Kickstarter!$G:$G, "US")</f>
        <v>388</v>
      </c>
      <c r="G32" s="25">
        <f>COUNTIFS(Kickstarter!$L:$L, "&gt;10", Kickstarter!$R:$R, "plays", Kickstarter!$F:$F, "failed", Kickstarter!$G:$G, "US")</f>
        <v>50</v>
      </c>
      <c r="H32" s="25">
        <f>COUNTIFS(Kickstarter!$L:$L, "&gt;10", Kickstarter!$G:$G, "US", Kickstarter!$D:$D, "10000")</f>
        <v>112</v>
      </c>
      <c r="I32" s="25">
        <f>COUNTIFS(Kickstarter!$L:$L, "&gt;10", Kickstarter!$G:$G, "US", Kickstarter!$D:$D, "10000", Kickstarter!$F:$F, "successful")</f>
        <v>91</v>
      </c>
      <c r="J32" s="25">
        <f>COUNTIFS(Kickstarter!$L:$L, "&gt;10", Kickstarter!$G:$G, "US", Kickstarter!$D:$D, "10000", Kickstarter!$F:$F, "failed")</f>
        <v>14</v>
      </c>
      <c r="K32" s="25">
        <f>COUNTIFS(Kickstarter!$L:$L, "&gt;10", Kickstarter!$G:$G, "US", Kickstarter!$D:$D, "10000", Kickstarter!$R:$R, "plays")</f>
        <v>28</v>
      </c>
      <c r="L32" s="25">
        <f>COUNTIFS(Kickstarter!$L:$L, "&gt;10", Kickstarter!$G:$G, "US", Kickstarter!$D:$D, "10000", Kickstarter!$R:$R, "plays", Kickstarter!$F:$F, "successful")</f>
        <v>24</v>
      </c>
      <c r="M32" s="25">
        <f>COUNTIFS(Kickstarter!$L:$L, "&gt;10", Kickstarter!$G:$G, "US", Kickstarter!$D:$D, "10000", Kickstarter!$R:$R, "plays", Kickstarter!$F:$F, "failed")</f>
        <v>3</v>
      </c>
    </row>
    <row r="33" spans="1:13" x14ac:dyDescent="0.3">
      <c r="A33" s="13" t="s">
        <v>8436</v>
      </c>
      <c r="B33" s="25">
        <f>COUNTIFS(Kickstarter!$G:$G, "US", Kickstarter!$L:$L, "&lt;10")</f>
        <v>1021</v>
      </c>
      <c r="C33" s="25">
        <f>COUNTIFS(Kickstarter!$F:$F, "successful", Kickstarter!$L:$L, "&lt;10", Kickstarter!$G:$G, "US")</f>
        <v>46</v>
      </c>
      <c r="D33" s="25">
        <f>COUNTIFS(Kickstarter!$F:$F, "failed", Kickstarter!$L:$L, "&lt;10", Kickstarter!$G:$G, "US")</f>
        <v>777</v>
      </c>
      <c r="E33" s="25">
        <f>COUNTIFS(Kickstarter!$L:$L, "&lt;10", Kickstarter!$R:$R, "plays", Kickstarter!$G:$G, "US")</f>
        <v>221</v>
      </c>
      <c r="F33" s="25">
        <f>COUNTIFS(Kickstarter!$L:$L, "&lt;10", Kickstarter!$R:$R, "plays", Kickstarter!$F:$F, "successful", Kickstarter!$G:$G, "US")</f>
        <v>20</v>
      </c>
      <c r="G33" s="25">
        <f>COUNTIFS(Kickstarter!$L:$L, "&lt;10", Kickstarter!$R:$R, "plays", Kickstarter!$F:$F, "failed", Kickstarter!$G:$G, "US")</f>
        <v>195</v>
      </c>
      <c r="H33" s="25">
        <f>COUNTIFS(Kickstarter!$L:$L, "&lt;10", Kickstarter!$G:$G, "US", Kickstarter!$D:$D, "10000")</f>
        <v>69</v>
      </c>
      <c r="I33" s="25">
        <f>COUNTIFS(Kickstarter!$L:$L, "&lt;10", Kickstarter!$G:$G, "US", Kickstarter!$D:$D, "10000", Kickstarter!$F:$F, "successful")</f>
        <v>0</v>
      </c>
      <c r="J33" s="25">
        <f>COUNTIFS(Kickstarter!$L:$L, "&lt;10", Kickstarter!$G:$G, "US", Kickstarter!$D:$D, "10000", Kickstarter!$F:$F, "failed")</f>
        <v>52</v>
      </c>
      <c r="K33" s="25">
        <f>COUNTIFS(Kickstarter!$L:$L, "&lt;10", Kickstarter!$G:$G, "US", Kickstarter!$D:$D, "10000", Kickstarter!$R:$R, "plays")</f>
        <v>11</v>
      </c>
      <c r="L33" s="25">
        <f>COUNTIFS(Kickstarter!$L:$L, "&lt;10", Kickstarter!$G:$G, "US", Kickstarter!$D:$D, "10000", Kickstarter!$R:$R, "plays", Kickstarter!$F:$F, "successful")</f>
        <v>0</v>
      </c>
      <c r="M33" s="25">
        <f>COUNTIFS(Kickstarter!$L:$L, "&lt;10", Kickstarter!$G:$G, "US", Kickstarter!$D:$D, "10000", Kickstarter!$R:$R, "plays", Kickstarter!$F:$F, "failed")</f>
        <v>10</v>
      </c>
    </row>
    <row r="34" spans="1:13" x14ac:dyDescent="0.3">
      <c r="A34" s="13" t="s">
        <v>8431</v>
      </c>
      <c r="B34" s="26">
        <f t="shared" ref="B34:M34" si="8">B$31/B$30</f>
        <v>0.90552995391705071</v>
      </c>
      <c r="C34" s="26">
        <f t="shared" si="8"/>
        <v>1</v>
      </c>
      <c r="D34" s="26">
        <f t="shared" si="8"/>
        <v>0.81312670920692798</v>
      </c>
      <c r="E34" s="26">
        <f t="shared" si="8"/>
        <v>0.94038748137108796</v>
      </c>
      <c r="F34" s="26">
        <f t="shared" si="8"/>
        <v>1</v>
      </c>
      <c r="G34" s="26">
        <f t="shared" si="8"/>
        <v>0.84399999999999997</v>
      </c>
      <c r="H34" s="26">
        <f t="shared" si="8"/>
        <v>0.85326086956521741</v>
      </c>
      <c r="I34" s="26">
        <f t="shared" si="8"/>
        <v>1</v>
      </c>
      <c r="J34" s="26">
        <f t="shared" si="8"/>
        <v>0.70588235294117652</v>
      </c>
      <c r="K34" s="26">
        <f t="shared" si="8"/>
        <v>0.97499999999999998</v>
      </c>
      <c r="L34" s="26">
        <f t="shared" si="8"/>
        <v>1</v>
      </c>
      <c r="M34" s="26">
        <f t="shared" si="8"/>
        <v>0.9285714285714286</v>
      </c>
    </row>
    <row r="35" spans="1:13" x14ac:dyDescent="0.3">
      <c r="A35" s="13" t="s">
        <v>8433</v>
      </c>
      <c r="B35" s="26">
        <f t="shared" ref="B35:M35" si="9">B$32/B$30</f>
        <v>0.65306122448979587</v>
      </c>
      <c r="C35" s="26">
        <f t="shared" si="9"/>
        <v>0.96486977589339795</v>
      </c>
      <c r="D35" s="26">
        <f t="shared" si="9"/>
        <v>0.27620783956244305</v>
      </c>
      <c r="E35" s="26">
        <f t="shared" si="9"/>
        <v>0.65722801788375562</v>
      </c>
      <c r="F35" s="26">
        <f t="shared" si="9"/>
        <v>0.94174757281553401</v>
      </c>
      <c r="G35" s="26">
        <f t="shared" si="9"/>
        <v>0.2</v>
      </c>
      <c r="H35" s="26">
        <f t="shared" si="9"/>
        <v>0.60869565217391308</v>
      </c>
      <c r="I35" s="26">
        <f t="shared" si="9"/>
        <v>1</v>
      </c>
      <c r="J35" s="26">
        <f t="shared" si="9"/>
        <v>0.20588235294117646</v>
      </c>
      <c r="K35" s="26">
        <f t="shared" si="9"/>
        <v>0.7</v>
      </c>
      <c r="L35" s="26">
        <f t="shared" si="9"/>
        <v>1</v>
      </c>
      <c r="M35" s="26">
        <f t="shared" si="9"/>
        <v>0.21428571428571427</v>
      </c>
    </row>
    <row r="36" spans="1:13" x14ac:dyDescent="0.3">
      <c r="A36" s="13" t="s">
        <v>8435</v>
      </c>
      <c r="B36" s="26">
        <f t="shared" ref="B36:M36" si="10">B$33/B$30</f>
        <v>0.33607636603028307</v>
      </c>
      <c r="C36" s="26">
        <f t="shared" si="10"/>
        <v>2.7861901877649909E-2</v>
      </c>
      <c r="D36" s="26">
        <f t="shared" si="10"/>
        <v>0.7082953509571559</v>
      </c>
      <c r="E36" s="26">
        <f t="shared" si="10"/>
        <v>0.3293591654247392</v>
      </c>
      <c r="F36" s="26">
        <f t="shared" si="10"/>
        <v>4.8543689320388349E-2</v>
      </c>
      <c r="G36" s="26">
        <f t="shared" si="10"/>
        <v>0.78</v>
      </c>
      <c r="H36" s="26">
        <f t="shared" si="10"/>
        <v>0.375</v>
      </c>
      <c r="I36" s="26">
        <f t="shared" si="10"/>
        <v>0</v>
      </c>
      <c r="J36" s="26">
        <f t="shared" si="10"/>
        <v>0.76470588235294112</v>
      </c>
      <c r="K36" s="26">
        <f t="shared" si="10"/>
        <v>0.27500000000000002</v>
      </c>
      <c r="L36" s="26">
        <f t="shared" si="10"/>
        <v>0</v>
      </c>
      <c r="M36" s="26">
        <f t="shared" si="10"/>
        <v>0.7142857142857143</v>
      </c>
    </row>
    <row r="1048555" spans="4:4" x14ac:dyDescent="0.3">
      <c r="D1048555" s="6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500FE-544C-4B36-A15B-2551D7183AED}">
  <dimension ref="A1:F18"/>
  <sheetViews>
    <sheetView tabSelected="1" zoomScale="110" zoomScaleNormal="110" workbookViewId="0">
      <selection activeCell="A13" sqref="A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12" t="s">
        <v>8379</v>
      </c>
      <c r="B1" t="s">
        <v>8363</v>
      </c>
    </row>
    <row r="2" spans="1:6" x14ac:dyDescent="0.3">
      <c r="A2" s="12" t="s">
        <v>8415</v>
      </c>
      <c r="B2" t="s">
        <v>8315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A79B-2B6A-44F4-9958-B54C9639BC57}">
  <dimension ref="A1:H14"/>
  <sheetViews>
    <sheetView zoomScaleNormal="100" workbookViewId="0">
      <selection activeCell="E10" sqref="E10"/>
    </sheetView>
  </sheetViews>
  <sheetFormatPr defaultColWidth="21.77734375" defaultRowHeight="14.4" x14ac:dyDescent="0.3"/>
  <cols>
    <col min="1" max="1" width="13.77734375" bestFit="1" customWidth="1"/>
    <col min="2" max="2" width="21.33203125" bestFit="1" customWidth="1"/>
    <col min="3" max="3" width="16.5546875" bestFit="1" customWidth="1"/>
    <col min="4" max="4" width="19.88671875" bestFit="1" customWidth="1"/>
    <col min="5" max="5" width="16" bestFit="1" customWidth="1"/>
    <col min="6" max="6" width="13.6640625" bestFit="1" customWidth="1"/>
    <col min="7" max="7" width="20.33203125" bestFit="1" customWidth="1"/>
    <col min="8" max="8" width="13.6640625" bestFit="1" customWidth="1"/>
  </cols>
  <sheetData>
    <row r="1" spans="1:8" ht="30" x14ac:dyDescent="0.3">
      <c r="A1" s="21" t="s">
        <v>8397</v>
      </c>
      <c r="B1" s="21" t="s">
        <v>8398</v>
      </c>
      <c r="C1" s="21" t="s">
        <v>8399</v>
      </c>
      <c r="D1" s="21" t="s">
        <v>8400</v>
      </c>
      <c r="E1" s="21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3">
      <c r="A2" t="s">
        <v>8427</v>
      </c>
      <c r="B2">
        <f>COUNTIFS(Kickstarter!$F:$F, "successful", Kickstarter!$D:$D,"&lt;=1000", Kickstarter!$R:$R, "plays")</f>
        <v>188</v>
      </c>
      <c r="C2">
        <f>COUNTIFS(Kickstarter!$F:$F, "failed", Kickstarter!$D:$D,"&lt;=1000", Kickstarter!$R:$R, "plays")</f>
        <v>63</v>
      </c>
      <c r="D2">
        <f>COUNTIFS(Kickstarter!$F:$F, "canceled", Kickstarter!$D:$D,"&lt;=1000", Kickstarter!$R:$R, "plays")</f>
        <v>0</v>
      </c>
      <c r="E2">
        <f t="shared" ref="E2:E13" si="0">SUM($B2:$D2)</f>
        <v>251</v>
      </c>
      <c r="F2" s="22">
        <f t="shared" ref="F2:F13" si="1">$B2/$E2</f>
        <v>0.74900398406374502</v>
      </c>
      <c r="G2" s="22">
        <f t="shared" ref="G2:G13" si="2">$C2/E2</f>
        <v>0.25099601593625498</v>
      </c>
      <c r="H2" s="22">
        <f t="shared" ref="H2:H13" si="3">$D2/$E2</f>
        <v>0</v>
      </c>
    </row>
    <row r="3" spans="1:8" x14ac:dyDescent="0.3">
      <c r="A3" t="s">
        <v>8428</v>
      </c>
      <c r="B3">
        <f>COUNTIFS(Kickstarter!$F:$F, "successful", Kickstarter!$D:$D,"&lt;=4999", Kickstarter!$D:$D, "&gt;=1000", Kickstarter!$R:$R, "plays")</f>
        <v>388</v>
      </c>
      <c r="C3">
        <f>COUNTIFS(Kickstarter!$F:$F, "failed", Kickstarter!$D:$D,"&lt;=4999", Kickstarter!$D:$D, "&gt;=1000", Kickstarter!$R:$R, "plays")</f>
        <v>146</v>
      </c>
      <c r="D3">
        <f>COUNTIFS(Kickstarter!$F:$F, "canceled", Kickstarter!$D:$D,"&lt;=4999", Kickstarter!$D:$D, "&gt;=1000", Kickstarter!$R:$R, "plays")</f>
        <v>0</v>
      </c>
      <c r="E3">
        <f t="shared" si="0"/>
        <v>534</v>
      </c>
      <c r="F3" s="22">
        <f t="shared" si="1"/>
        <v>0.72659176029962547</v>
      </c>
      <c r="G3" s="22">
        <f t="shared" si="2"/>
        <v>0.27340823970037453</v>
      </c>
      <c r="H3" s="22">
        <f t="shared" si="3"/>
        <v>0</v>
      </c>
    </row>
    <row r="4" spans="1:8" x14ac:dyDescent="0.3">
      <c r="A4" t="s">
        <v>8405</v>
      </c>
      <c r="B4">
        <f>COUNTIFS(Kickstarter!$F:$F, "successful", Kickstarter!$D:$D,"&lt;=9999", Kickstarter!$D:$D, "&gt;=5000", Kickstarter!$R:$R, "plays")</f>
        <v>93</v>
      </c>
      <c r="C4">
        <f>COUNTIFS(Kickstarter!$F:$F, "failed", Kickstarter!$D:$D,"&lt;=9999", Kickstarter!$D:$D, "&gt;=5000", Kickstarter!$R:$R, "plays")</f>
        <v>76</v>
      </c>
      <c r="D4">
        <f>COUNTIFS(Kickstarter!$F:$F, "canceled", Kickstarter!$D:$D,"&lt;=9999", Kickstarter!$D:$D, "&gt;=5000",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8406</v>
      </c>
      <c r="B5">
        <f>COUNTIFS(Kickstarter!$F:$F, "successful", Kickstarter!$D:$D,"&lt;=14999", Kickstarter!$D:$D, "&gt;=10000", Kickstarter!$R:$R, "plays")</f>
        <v>39</v>
      </c>
      <c r="C5">
        <f>COUNTIFS(Kickstarter!$F:$F, "failed", Kickstarter!$D:$D,"&lt;=14999", Kickstarter!$D:$D, "&gt;=10000", Kickstarter!$R:$R, "plays")</f>
        <v>33</v>
      </c>
      <c r="D5">
        <f>COUNTIFS(Kickstarter!$F:$F, "canceled", Kickstarter!$D:$D,"&lt;=14999", Kickstarter!$D:$D, "&gt;=10000",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8407</v>
      </c>
      <c r="B6">
        <f>COUNTIFS(Kickstarter!$F:$F, "successful", Kickstarter!$D:$D,"&lt;=19999", Kickstarter!$D:$D, "&gt;=15000", Kickstarter!$R:$R, "plays")</f>
        <v>12</v>
      </c>
      <c r="C6">
        <f>COUNTIFS(Kickstarter!$F:$F, "failed", Kickstarter!$D:$D,"&lt;=19999", Kickstarter!$D:$D, "&gt;=15000", Kickstarter!$R:$R, "plays")</f>
        <v>12</v>
      </c>
      <c r="D6">
        <f>COUNTIFS(Kickstarter!$F:$F, "canceled", Kickstarter!$D:$D,"&lt;=19999", Kickstarter!$D:$D, "&gt;=15000",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8408</v>
      </c>
      <c r="B7">
        <f>COUNTIFS(Kickstarter!$F:$F, "successful", Kickstarter!$D:$D,"&lt;=24999", Kickstarter!$D:$D, "&gt;=20000", Kickstarter!$R:$R, "plays")</f>
        <v>9</v>
      </c>
      <c r="C7">
        <f>COUNTIFS(Kickstarter!$F:$F, "failed", Kickstarter!$D:$D,"&lt;=24999", Kickstarter!$D:$D, "&gt;=20000", Kickstarter!$R:$R, "plays")</f>
        <v>11</v>
      </c>
      <c r="D7">
        <f>COUNTIFS(Kickstarter!$F:$F, "canceled", Kickstarter!$D:$D,"&lt;=24999", Kickstarter!$D:$D, "&gt;=20000",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8409</v>
      </c>
      <c r="B8">
        <f>COUNTIFS(Kickstarter!$F:$F, "successful", Kickstarter!$D:$D,"&lt;=29999", Kickstarter!$D:$D, "&gt;=25000", Kickstarter!$R:$R, "plays")</f>
        <v>1</v>
      </c>
      <c r="C8">
        <f>COUNTIFS(Kickstarter!$F:$F, "failed", Kickstarter!$D:$D,"&lt;=29999", Kickstarter!$D:$D, "&gt;=25000", Kickstarter!$R:$R, "plays")</f>
        <v>4</v>
      </c>
      <c r="D8">
        <f>COUNTIFS(Kickstarter!$F:$F, "canceled", Kickstarter!$D:$D,"&lt;=29999", Kickstarter!$D:$D, "&gt;=25000",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8410</v>
      </c>
      <c r="B9">
        <f>COUNTIFS(Kickstarter!$F:$F, "successful", Kickstarter!$D:$D,"&lt;=34999", Kickstarter!$D:$D, "&gt;=30000", Kickstarter!$R:$R, "plays")</f>
        <v>3</v>
      </c>
      <c r="C9">
        <f>COUNTIFS(Kickstarter!$F:$F, "failed", Kickstarter!$D:$D,"&lt;=34999", Kickstarter!$D:$D, "&gt;=30000", Kickstarter!$R:$R, "plays")</f>
        <v>8</v>
      </c>
      <c r="D9">
        <f>COUNTIFS(Kickstarter!$F:$F, "canceled", Kickstarter!$D:$D,"&lt;=34999", Kickstarter!$D:$D, "&gt;=30000",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8411</v>
      </c>
      <c r="B10">
        <f>COUNTIFS(Kickstarter!$F:$F, "successful", Kickstarter!$D:$D,"&lt;=39999", Kickstarter!$D:$D, "&gt;=35000", Kickstarter!$R:$R, "plays")</f>
        <v>4</v>
      </c>
      <c r="C10">
        <f>COUNTIFS(Kickstarter!$F:$F, "failed", Kickstarter!$D:$D,"&lt;=39999", Kickstarter!$D:$D, "&gt;=35000", Kickstarter!$R:$R, "plays")</f>
        <v>2</v>
      </c>
      <c r="D10">
        <f>COUNTIFS(Kickstarter!$F:$F, "canceled", Kickstarter!$D:$D,"&lt;=39999", Kickstarter!$D:$D, "&gt;=35000",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8412</v>
      </c>
      <c r="B11">
        <f>COUNTIFS(Kickstarter!$F:$F, "successful", Kickstarter!$D:$D,"&lt;=44999", Kickstarter!$D:$D, "&gt;=40000", Kickstarter!$R:$R, "plays")</f>
        <v>2</v>
      </c>
      <c r="C11">
        <f>COUNTIFS(Kickstarter!$F:$F, "failed", Kickstarter!$D:$D,"&lt;=44999", Kickstarter!$D:$D, "&gt;=40000", Kickstarter!$R:$R, "plays")</f>
        <v>1</v>
      </c>
      <c r="D11">
        <f>COUNTIFS(Kickstarter!$F:$F, "canceled", Kickstarter!$D:$D,"&lt;=44999", Kickstarter!$D:$D, "&gt;=40000",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8413</v>
      </c>
      <c r="B12">
        <f>COUNTIFS(Kickstarter!$F:$F, "successful", Kickstarter!$D:$D,"&lt;=49999", Kickstarter!$D:$D, "&gt;=45000", Kickstarter!$R:$R, "plays")</f>
        <v>0</v>
      </c>
      <c r="C12">
        <f>COUNTIFS(Kickstarter!$F:$F, "failed", Kickstarter!$D:$D,"&lt;=49999", Kickstarter!$D:$D, "&gt;=45000", Kickstarter!$R:$R, "plays")</f>
        <v>1</v>
      </c>
      <c r="D12">
        <f>COUNTIFS(Kickstarter!$F:$F, "canceled", Kickstarter!$D:$D,"&lt;=49999", Kickstarter!$D:$D, "&gt;=45000",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8414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F14" s="30">
        <f>AVERAGE(F2:F13)</f>
        <v>0.45405157292323417</v>
      </c>
      <c r="G14" s="30">
        <f>AVERAGE(G2:G13)</f>
        <v>0.54594842707676594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8792-1637-487C-9EF1-1560877E0BFB}">
  <dimension ref="A1:F20"/>
  <sheetViews>
    <sheetView topLeftCell="A3" zoomScale="140" zoomScaleNormal="140" workbookViewId="0">
      <selection activeCell="X20" sqref="X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8363</v>
      </c>
    </row>
    <row r="2" spans="1:6" x14ac:dyDescent="0.3">
      <c r="A2" s="12" t="s">
        <v>8359</v>
      </c>
      <c r="B2" t="s">
        <v>8363</v>
      </c>
    </row>
    <row r="3" spans="1:6" x14ac:dyDescent="0.3">
      <c r="A3" s="12" t="s">
        <v>8379</v>
      </c>
      <c r="B3" t="s">
        <v>8363</v>
      </c>
    </row>
    <row r="4" spans="1:6" x14ac:dyDescent="0.3">
      <c r="A4" s="12" t="s">
        <v>8222</v>
      </c>
      <c r="B4" t="s">
        <v>8363</v>
      </c>
    </row>
    <row r="6" spans="1:6" x14ac:dyDescent="0.3">
      <c r="A6" s="12" t="s">
        <v>8362</v>
      </c>
      <c r="B6" s="12" t="s">
        <v>8360</v>
      </c>
    </row>
    <row r="7" spans="1:6" x14ac:dyDescent="0.3">
      <c r="A7" s="12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7" t="s">
        <v>8373</v>
      </c>
      <c r="B8" s="13">
        <v>34</v>
      </c>
      <c r="C8" s="13">
        <v>149</v>
      </c>
      <c r="D8" s="13">
        <v>2</v>
      </c>
      <c r="E8" s="13">
        <v>182</v>
      </c>
      <c r="F8" s="13">
        <v>367</v>
      </c>
    </row>
    <row r="9" spans="1:6" x14ac:dyDescent="0.3">
      <c r="A9" s="17" t="s">
        <v>8374</v>
      </c>
      <c r="B9" s="13">
        <v>27</v>
      </c>
      <c r="C9" s="13">
        <v>106</v>
      </c>
      <c r="D9" s="13">
        <v>18</v>
      </c>
      <c r="E9" s="13">
        <v>202</v>
      </c>
      <c r="F9" s="13">
        <v>353</v>
      </c>
    </row>
    <row r="10" spans="1:6" x14ac:dyDescent="0.3">
      <c r="A10" s="17" t="s">
        <v>8375</v>
      </c>
      <c r="B10" s="13">
        <v>28</v>
      </c>
      <c r="C10" s="13">
        <v>108</v>
      </c>
      <c r="D10" s="13">
        <v>30</v>
      </c>
      <c r="E10" s="13">
        <v>180</v>
      </c>
      <c r="F10" s="13">
        <v>346</v>
      </c>
    </row>
    <row r="11" spans="1:6" x14ac:dyDescent="0.3">
      <c r="A11" s="17" t="s">
        <v>8376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3">
      <c r="A12" s="17" t="s">
        <v>8367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3">
      <c r="A13" s="17" t="s">
        <v>8377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3">
      <c r="A14" s="17" t="s">
        <v>8368</v>
      </c>
      <c r="B14" s="13">
        <v>43</v>
      </c>
      <c r="C14" s="13">
        <v>150</v>
      </c>
      <c r="D14" s="13"/>
      <c r="E14" s="13">
        <v>194</v>
      </c>
      <c r="F14" s="13">
        <v>387</v>
      </c>
    </row>
    <row r="15" spans="1:6" x14ac:dyDescent="0.3">
      <c r="A15" s="17" t="s">
        <v>8369</v>
      </c>
      <c r="B15" s="13">
        <v>33</v>
      </c>
      <c r="C15" s="13">
        <v>134</v>
      </c>
      <c r="D15" s="13"/>
      <c r="E15" s="13">
        <v>166</v>
      </c>
      <c r="F15" s="13">
        <v>333</v>
      </c>
    </row>
    <row r="16" spans="1:6" x14ac:dyDescent="0.3">
      <c r="A16" s="17" t="s">
        <v>8370</v>
      </c>
      <c r="B16" s="13">
        <v>24</v>
      </c>
      <c r="C16" s="13">
        <v>127</v>
      </c>
      <c r="D16" s="13"/>
      <c r="E16" s="13">
        <v>147</v>
      </c>
      <c r="F16" s="13">
        <v>298</v>
      </c>
    </row>
    <row r="17" spans="1:6" x14ac:dyDescent="0.3">
      <c r="A17" s="17" t="s">
        <v>8371</v>
      </c>
      <c r="B17" s="13">
        <v>20</v>
      </c>
      <c r="C17" s="13">
        <v>149</v>
      </c>
      <c r="D17" s="13"/>
      <c r="E17" s="13">
        <v>183</v>
      </c>
      <c r="F17" s="13">
        <v>352</v>
      </c>
    </row>
    <row r="18" spans="1:6" x14ac:dyDescent="0.3">
      <c r="A18" s="17" t="s">
        <v>8372</v>
      </c>
      <c r="B18" s="13">
        <v>37</v>
      </c>
      <c r="C18" s="13">
        <v>114</v>
      </c>
      <c r="D18" s="13"/>
      <c r="E18" s="13">
        <v>183</v>
      </c>
      <c r="F18" s="13">
        <v>334</v>
      </c>
    </row>
    <row r="19" spans="1:6" x14ac:dyDescent="0.3">
      <c r="A19" s="17" t="s">
        <v>8378</v>
      </c>
      <c r="B19" s="13">
        <v>23</v>
      </c>
      <c r="C19" s="13">
        <v>118</v>
      </c>
      <c r="D19" s="13"/>
      <c r="E19" s="13">
        <v>111</v>
      </c>
      <c r="F19" s="13">
        <v>252</v>
      </c>
    </row>
    <row r="20" spans="1:6" x14ac:dyDescent="0.3">
      <c r="A20" s="17" t="s">
        <v>8361</v>
      </c>
      <c r="B20" s="13">
        <v>349</v>
      </c>
      <c r="C20" s="13">
        <v>1530</v>
      </c>
      <c r="D20" s="13">
        <v>50</v>
      </c>
      <c r="E20" s="13">
        <v>2185</v>
      </c>
      <c r="F20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B8A06-7B9C-4AF5-9972-1DA0C4AAA8D9}">
  <dimension ref="A1:G6"/>
  <sheetViews>
    <sheetView workbookViewId="0">
      <selection activeCell="F20" sqref="F20"/>
    </sheetView>
  </sheetViews>
  <sheetFormatPr defaultRowHeight="14.4" x14ac:dyDescent="0.3"/>
  <cols>
    <col min="1" max="1" width="30.5546875" bestFit="1" customWidth="1"/>
  </cols>
  <sheetData>
    <row r="1" spans="1:7" s="11" customFormat="1" x14ac:dyDescent="0.3">
      <c r="A1" s="11" t="s">
        <v>1</v>
      </c>
      <c r="B1" s="11" t="s">
        <v>4110</v>
      </c>
      <c r="C1" s="11" t="s">
        <v>8216</v>
      </c>
      <c r="D1" s="11" t="s">
        <v>8217</v>
      </c>
      <c r="E1" s="11" t="s">
        <v>8381</v>
      </c>
      <c r="F1" s="11" t="s">
        <v>8380</v>
      </c>
      <c r="G1" s="11" t="s">
        <v>8382</v>
      </c>
    </row>
    <row r="2" spans="1:7" x14ac:dyDescent="0.3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VLOOKUP($A2, Kickstarter!B:E,3, FALSE)</f>
        <v>2000</v>
      </c>
      <c r="D2">
        <f>VLOOKUP($A2, Kickstarter!$B:E,4, FALSE)</f>
        <v>2020</v>
      </c>
      <c r="E2">
        <f>VLOOKUP($A2, Kickstarter!$B:$U,15,FALSE)</f>
        <v>51.79</v>
      </c>
      <c r="F2">
        <f>VLOOKUP($A2, Kickstarter!$B:$U,11,FALSE)</f>
        <v>39</v>
      </c>
      <c r="G2" t="str">
        <f>VLOOKUP($A2, Kickstarter!$B:$U,5,FALSE)</f>
        <v>successful</v>
      </c>
    </row>
    <row r="3" spans="1:7" x14ac:dyDescent="0.3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VLOOKUP($A3, Kickstarter!B:E,3, FALSE)</f>
        <v>2000</v>
      </c>
      <c r="D3">
        <f>VLOOKUP($A3, Kickstarter!$B:E,4, FALSE)</f>
        <v>2020</v>
      </c>
      <c r="E3">
        <f>VLOOKUP($A3, Kickstarter!$B:$U,15,FALSE)</f>
        <v>36.07</v>
      </c>
      <c r="F3">
        <f>VLOOKUP($A3, Kickstarter!$B:$U,11,FALSE)</f>
        <v>56</v>
      </c>
      <c r="G3" t="str">
        <f>VLOOKUP($A3, Kickstarter!$B:$U,5,FALSE)</f>
        <v>successful</v>
      </c>
    </row>
    <row r="4" spans="1:7" x14ac:dyDescent="0.3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VLOOKUP($A4, Kickstarter!B:E,3, FALSE)</f>
        <v>1500</v>
      </c>
      <c r="D4">
        <f>VLOOKUP($A4, Kickstarter!$B:E,4, FALSE)</f>
        <v>2576</v>
      </c>
      <c r="E4">
        <f>VLOOKUP($A4, Kickstarter!$B:$U,15,FALSE)</f>
        <v>33.03</v>
      </c>
      <c r="F4">
        <f>VLOOKUP($A4, Kickstarter!$B:$U,11,FALSE)</f>
        <v>78</v>
      </c>
      <c r="G4" t="str">
        <f>VLOOKUP($A4, Kickstarter!$B:$U,5,FALSE)</f>
        <v>successful</v>
      </c>
    </row>
    <row r="5" spans="1:7" x14ac:dyDescent="0.3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VLOOKUP($A5, Kickstarter!B:E,3, FALSE)</f>
        <v>1000</v>
      </c>
      <c r="D5">
        <f>VLOOKUP($A5, Kickstarter!$B:E,4, FALSE)</f>
        <v>1168</v>
      </c>
      <c r="E5">
        <f>VLOOKUP($A5, Kickstarter!$B:$U,15,FALSE)</f>
        <v>44.92</v>
      </c>
      <c r="F5">
        <f>VLOOKUP($A5, Kickstarter!$B:$U,11,FALSE)</f>
        <v>26</v>
      </c>
      <c r="G5" t="str">
        <f>VLOOKUP($A5, Kickstarter!$B:$U,5,FALSE)</f>
        <v>successful</v>
      </c>
    </row>
    <row r="6" spans="1:7" x14ac:dyDescent="0.3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VLOOKUP($A6, Kickstarter!B:E,3, FALSE)</f>
        <v>4000</v>
      </c>
      <c r="D6">
        <f>VLOOKUP($A6, Kickstarter!$B:E,4, FALSE)</f>
        <v>4137</v>
      </c>
      <c r="E6">
        <f>VLOOKUP($A6, Kickstarter!$B:$U,15,FALSE)</f>
        <v>36.61</v>
      </c>
      <c r="F6">
        <f>VLOOKUP($A6, Kickstarter!$B:$U,11,FALSE)</f>
        <v>113</v>
      </c>
      <c r="G6" t="str">
        <f>VLOOKUP($A6, Kickstarter!$B:$U,5,FALSE)</f>
        <v>successful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Descriptive Statistics</vt:lpstr>
      <vt:lpstr>Theater Outcomes by Launch Date</vt:lpstr>
      <vt:lpstr>Outcomes Based on Goals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2022-06-29T23:16:54Z</dcterms:modified>
</cp:coreProperties>
</file>